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Websites\JJ_wiredtree\public_html\downloads\"/>
    </mc:Choice>
  </mc:AlternateContent>
  <xr:revisionPtr revIDLastSave="0" documentId="8_{D6B772F1-733B-42B2-B1A9-E0EC0F44F265}" xr6:coauthVersionLast="47" xr6:coauthVersionMax="47" xr10:uidLastSave="{00000000-0000-0000-0000-000000000000}"/>
  <bookViews>
    <workbookView xWindow="1605" yWindow="1950" windowWidth="27195" windowHeight="14250" tabRatio="846" activeTab="6" xr2:uid="{00000000-000D-0000-FFFF-FFFF00000000}"/>
  </bookViews>
  <sheets>
    <sheet name="Berger Metal SSR" sheetId="1" r:id="rId1"/>
    <sheet name="Berger Metal Exposed" sheetId="14" r:id="rId2"/>
    <sheet name="Berger Asphalt" sheetId="16" r:id="rId3"/>
    <sheet name="Berger No. 100 on Slate" sheetId="15" r:id="rId4"/>
    <sheet name="Berger #2, #95, Pro100 on Slate" sheetId="17" r:id="rId5"/>
    <sheet name="Mullane Products on Slate" sheetId="18" r:id="rId6"/>
    <sheet name="F-E-S Rail" sheetId="19" r:id="rId7"/>
    <sheet name="Mullane Rail" sheetId="20" r:id="rId8"/>
  </sheets>
  <definedNames>
    <definedName name="_xlnm.Print_Area" localSheetId="4">'Berger #2, #95, Pro100 on Slate'!$A$1:$R$50</definedName>
    <definedName name="_xlnm.Print_Area" localSheetId="2">'Berger Asphalt'!$A$1:$R$47</definedName>
    <definedName name="_xlnm.Print_Area" localSheetId="1">'Berger Metal Exposed'!$A$1:$R$43</definedName>
    <definedName name="_xlnm.Print_Area" localSheetId="0">'Berger Metal SSR'!$A$1:$Z$44</definedName>
    <definedName name="_xlnm.Print_Area" localSheetId="3">'Berger No. 100 on Slate'!$A$1:$R$49</definedName>
    <definedName name="_xlnm.Print_Area" localSheetId="6">'F-E-S Rail'!$A$1:$T$49</definedName>
    <definedName name="_xlnm.Print_Area" localSheetId="5">'Mullane Products on Slate'!$A$1:$R$81</definedName>
    <definedName name="_xlnm.Print_Area" localSheetId="7">'Mullane Rail'!$A$1:$T$48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5" i="19" l="1"/>
  <c r="N21" i="19" l="1"/>
  <c r="J21" i="19"/>
  <c r="K23" i="20" l="1"/>
  <c r="G39" i="17" l="1"/>
  <c r="B31" i="19" l="1"/>
  <c r="F33" i="14" l="1"/>
  <c r="B25" i="20" l="1"/>
  <c r="F39" i="20" s="1"/>
  <c r="B27" i="20" l="1"/>
  <c r="D33" i="20" s="1"/>
  <c r="P39" i="20"/>
  <c r="L39" i="20"/>
  <c r="J36" i="20"/>
  <c r="N36" i="20" s="1"/>
  <c r="Y30" i="20"/>
  <c r="D30" i="20"/>
  <c r="U28" i="20"/>
  <c r="J26" i="20"/>
  <c r="N26" i="20" s="1"/>
  <c r="D22" i="20"/>
  <c r="U21" i="20"/>
  <c r="X38" i="20" s="1"/>
  <c r="B6" i="20"/>
  <c r="B6" i="16"/>
  <c r="B6" i="19"/>
  <c r="B29" i="20" l="1"/>
  <c r="H36" i="20"/>
  <c r="D32" i="20"/>
  <c r="R26" i="20"/>
  <c r="R36" i="20"/>
  <c r="X36" i="20"/>
  <c r="X40" i="20"/>
  <c r="H26" i="20" s="1"/>
  <c r="F26" i="20"/>
  <c r="F36" i="20"/>
  <c r="B29" i="19"/>
  <c r="P39" i="19"/>
  <c r="L39" i="19"/>
  <c r="F39" i="19"/>
  <c r="J39" i="19" s="1"/>
  <c r="B25" i="19"/>
  <c r="B27" i="19" s="1"/>
  <c r="B33" i="19" s="1"/>
  <c r="D30" i="19"/>
  <c r="D22" i="19"/>
  <c r="J36" i="19"/>
  <c r="F36" i="19" s="1"/>
  <c r="J26" i="19"/>
  <c r="R26" i="19" s="1"/>
  <c r="B6" i="17"/>
  <c r="R39" i="19"/>
  <c r="N39" i="19"/>
  <c r="N36" i="19"/>
  <c r="Y30" i="19"/>
  <c r="U28" i="19"/>
  <c r="U21" i="19"/>
  <c r="X40" i="19" s="1"/>
  <c r="X38" i="19" l="1"/>
  <c r="H36" i="19" s="1"/>
  <c r="X36" i="19"/>
  <c r="R39" i="20"/>
  <c r="N39" i="20"/>
  <c r="J39" i="20"/>
  <c r="D26" i="20"/>
  <c r="L26" i="20"/>
  <c r="P26" i="20"/>
  <c r="L36" i="20"/>
  <c r="P36" i="20"/>
  <c r="F26" i="19"/>
  <c r="H26" i="19"/>
  <c r="D26" i="19"/>
  <c r="N26" i="19"/>
  <c r="R36" i="19"/>
  <c r="B6" i="18"/>
  <c r="L26" i="19" l="1"/>
  <c r="D32" i="19"/>
  <c r="D33" i="19"/>
  <c r="P36" i="19"/>
  <c r="L36" i="19"/>
  <c r="K23" i="19"/>
  <c r="D57" i="18"/>
  <c r="D33" i="18"/>
  <c r="D30" i="18"/>
  <c r="S21" i="18"/>
  <c r="S22" i="18"/>
  <c r="S23" i="18"/>
  <c r="S24" i="18"/>
  <c r="S25" i="18"/>
  <c r="S26" i="18"/>
  <c r="S27" i="18"/>
  <c r="S28" i="18"/>
  <c r="S29" i="18"/>
  <c r="S30" i="18"/>
  <c r="S31" i="18"/>
  <c r="S32" i="18"/>
  <c r="S33" i="18"/>
  <c r="S34" i="18"/>
  <c r="S20" i="18"/>
  <c r="X58" i="18"/>
  <c r="P26" i="19" l="1"/>
  <c r="V69" i="18"/>
  <c r="V63" i="18"/>
  <c r="V81" i="18"/>
  <c r="V85" i="18"/>
  <c r="V67" i="18"/>
  <c r="V75" i="18"/>
  <c r="V83" i="18"/>
  <c r="V77" i="18"/>
  <c r="V71" i="18"/>
  <c r="V79" i="18"/>
  <c r="V87" i="18"/>
  <c r="V65" i="18"/>
  <c r="V73" i="18"/>
  <c r="H71" i="18"/>
  <c r="J71" i="18" s="1"/>
  <c r="L71" i="18" s="1"/>
  <c r="N71" i="18" s="1"/>
  <c r="P71" i="18" s="1"/>
  <c r="G71" i="18"/>
  <c r="I71" i="18" s="1"/>
  <c r="K71" i="18" s="1"/>
  <c r="M71" i="18" s="1"/>
  <c r="O71" i="18" s="1"/>
  <c r="D59" i="18" l="1"/>
  <c r="F58" i="18" s="1"/>
  <c r="D47" i="18"/>
  <c r="F46" i="18" s="1"/>
  <c r="D35" i="18"/>
  <c r="F34" i="18" s="1"/>
  <c r="D32" i="18"/>
  <c r="E31" i="18" s="1"/>
  <c r="D53" i="18"/>
  <c r="F52" i="18" s="1"/>
  <c r="D41" i="18"/>
  <c r="F40" i="18" s="1"/>
  <c r="D29" i="18"/>
  <c r="F28" i="18" s="1"/>
  <c r="D50" i="18"/>
  <c r="E49" i="18" s="1"/>
  <c r="D62" i="18"/>
  <c r="E61" i="18" s="1"/>
  <c r="D56" i="18"/>
  <c r="E55" i="18" s="1"/>
  <c r="D44" i="18"/>
  <c r="E43" i="18" s="1"/>
  <c r="D38" i="18"/>
  <c r="E37" i="18" s="1"/>
  <c r="D28" i="18"/>
  <c r="D40" i="18"/>
  <c r="D55" i="18"/>
  <c r="D66" i="18"/>
  <c r="D31" i="18"/>
  <c r="D43" i="18"/>
  <c r="D58" i="18"/>
  <c r="D64" i="18"/>
  <c r="D34" i="18"/>
  <c r="D46" i="18"/>
  <c r="D52" i="18"/>
  <c r="D61" i="18"/>
  <c r="D37" i="18"/>
  <c r="D49" i="18"/>
  <c r="D68" i="18"/>
  <c r="D65" i="18"/>
  <c r="E64" i="18" s="1"/>
  <c r="D67" i="18"/>
  <c r="E66" i="18" s="1"/>
  <c r="D69" i="18"/>
  <c r="E68" i="18" s="1"/>
  <c r="E36" i="17"/>
  <c r="M34" i="17" s="1"/>
  <c r="H39" i="17"/>
  <c r="J39" i="17" s="1"/>
  <c r="L39" i="17" s="1"/>
  <c r="N39" i="17" s="1"/>
  <c r="P39" i="17" s="1"/>
  <c r="I39" i="17"/>
  <c r="K39" i="17" s="1"/>
  <c r="M39" i="17" s="1"/>
  <c r="O39" i="17" s="1"/>
  <c r="Q36" i="17"/>
  <c r="F33" i="15"/>
  <c r="N33" i="15" s="1"/>
  <c r="H35" i="15"/>
  <c r="P35" i="15" s="1"/>
  <c r="E34" i="17" l="1"/>
  <c r="F34" i="17"/>
  <c r="G36" i="17"/>
  <c r="G34" i="17"/>
  <c r="I34" i="17"/>
  <c r="I36" i="17"/>
  <c r="N34" i="17"/>
  <c r="H36" i="17"/>
  <c r="K36" i="17"/>
  <c r="O34" i="17"/>
  <c r="L36" i="17"/>
  <c r="Q34" i="17"/>
  <c r="L35" i="15"/>
  <c r="M36" i="17"/>
  <c r="J34" i="17"/>
  <c r="J33" i="15"/>
  <c r="O36" i="17"/>
  <c r="K34" i="17"/>
  <c r="P36" i="17"/>
  <c r="F64" i="18"/>
  <c r="F37" i="18"/>
  <c r="G37" i="18" s="1"/>
  <c r="I37" i="18" s="1"/>
  <c r="J37" i="18" s="1"/>
  <c r="K37" i="18" s="1"/>
  <c r="L37" i="18" s="1"/>
  <c r="M37" i="18" s="1"/>
  <c r="O37" i="18" s="1"/>
  <c r="P37" i="18" s="1"/>
  <c r="Q37" i="18" s="1"/>
  <c r="N37" i="18"/>
  <c r="H37" i="18" s="1"/>
  <c r="H43" i="18"/>
  <c r="N43" i="18" s="1"/>
  <c r="F43" i="18"/>
  <c r="G43" i="18" s="1"/>
  <c r="I43" i="18" s="1"/>
  <c r="J43" i="18" s="1"/>
  <c r="K43" i="18" s="1"/>
  <c r="L43" i="18" s="1"/>
  <c r="M43" i="18" s="1"/>
  <c r="O43" i="18" s="1"/>
  <c r="P43" i="18" s="1"/>
  <c r="Q43" i="18" s="1"/>
  <c r="G28" i="18"/>
  <c r="H28" i="18" s="1"/>
  <c r="I28" i="18" s="1"/>
  <c r="J28" i="18" s="1"/>
  <c r="L28" i="18" s="1"/>
  <c r="M28" i="18" s="1"/>
  <c r="N28" i="18" s="1"/>
  <c r="O28" i="18" s="1"/>
  <c r="P28" i="18" s="1"/>
  <c r="E28" i="18"/>
  <c r="F68" i="18"/>
  <c r="F55" i="18"/>
  <c r="G55" i="18" s="1"/>
  <c r="I55" i="18" s="1"/>
  <c r="J55" i="18" s="1"/>
  <c r="K55" i="18" s="1"/>
  <c r="L55" i="18" s="1"/>
  <c r="M55" i="18" s="1"/>
  <c r="O55" i="18" s="1"/>
  <c r="P55" i="18" s="1"/>
  <c r="Q55" i="18" s="1"/>
  <c r="N55" i="18"/>
  <c r="H55" i="18" s="1"/>
  <c r="G40" i="18"/>
  <c r="H40" i="18" s="1"/>
  <c r="I40" i="18" s="1"/>
  <c r="J40" i="18" s="1"/>
  <c r="L40" i="18" s="1"/>
  <c r="M40" i="18" s="1"/>
  <c r="N40" i="18" s="1"/>
  <c r="O40" i="18" s="1"/>
  <c r="P40" i="18" s="1"/>
  <c r="K40" i="18"/>
  <c r="K46" i="18"/>
  <c r="G46" i="18"/>
  <c r="H46" i="18" s="1"/>
  <c r="F49" i="18"/>
  <c r="G49" i="18" s="1"/>
  <c r="I49" i="18" s="1"/>
  <c r="J49" i="18" s="1"/>
  <c r="K49" i="18" s="1"/>
  <c r="L49" i="18" s="1"/>
  <c r="M49" i="18" s="1"/>
  <c r="O49" i="18" s="1"/>
  <c r="P49" i="18" s="1"/>
  <c r="Q49" i="18" s="1"/>
  <c r="H49" i="18"/>
  <c r="N49" i="18" s="1"/>
  <c r="F31" i="18"/>
  <c r="G31" i="18" s="1"/>
  <c r="I31" i="18" s="1"/>
  <c r="J31" i="18" s="1"/>
  <c r="K31" i="18" s="1"/>
  <c r="L31" i="18" s="1"/>
  <c r="M31" i="18" s="1"/>
  <c r="O31" i="18" s="1"/>
  <c r="P31" i="18" s="1"/>
  <c r="Q31" i="18" s="1"/>
  <c r="H31" i="18"/>
  <c r="N31" i="18" s="1"/>
  <c r="K34" i="18"/>
  <c r="G34" i="18"/>
  <c r="H34" i="18" s="1"/>
  <c r="I34" i="18" s="1"/>
  <c r="J34" i="18" s="1"/>
  <c r="L34" i="18" s="1"/>
  <c r="M34" i="18" s="1"/>
  <c r="N34" i="18" s="1"/>
  <c r="O34" i="18" s="1"/>
  <c r="P34" i="18" s="1"/>
  <c r="H66" i="18"/>
  <c r="F61" i="18"/>
  <c r="G61" i="18" s="1"/>
  <c r="I61" i="18" s="1"/>
  <c r="J61" i="18" s="1"/>
  <c r="K61" i="18" s="1"/>
  <c r="L61" i="18" s="1"/>
  <c r="M61" i="18" s="1"/>
  <c r="H61" i="18"/>
  <c r="N61" i="18" s="1"/>
  <c r="G52" i="18"/>
  <c r="H52" i="18" s="1"/>
  <c r="I52" i="18" s="1"/>
  <c r="J52" i="18" s="1"/>
  <c r="L52" i="18" s="1"/>
  <c r="K52" i="18"/>
  <c r="K58" i="18"/>
  <c r="G58" i="18"/>
  <c r="H58" i="18" s="1"/>
  <c r="I58" i="18" s="1"/>
  <c r="J58" i="18" s="1"/>
  <c r="L58" i="18" s="1"/>
  <c r="D21" i="18"/>
  <c r="B38" i="17"/>
  <c r="W30" i="17"/>
  <c r="S28" i="17"/>
  <c r="S24" i="17"/>
  <c r="S23" i="17"/>
  <c r="S22" i="17"/>
  <c r="S21" i="17"/>
  <c r="S20" i="15"/>
  <c r="S21" i="15"/>
  <c r="B31" i="17" l="1"/>
  <c r="B29" i="17"/>
  <c r="P66" i="18"/>
  <c r="L66" i="18"/>
  <c r="Q46" i="18"/>
  <c r="E46" i="18"/>
  <c r="M58" i="18"/>
  <c r="N58" i="18"/>
  <c r="O58" i="18" s="1"/>
  <c r="P58" i="18" s="1"/>
  <c r="Q40" i="18"/>
  <c r="E40" i="18"/>
  <c r="J68" i="18"/>
  <c r="N68" i="18"/>
  <c r="H64" i="18"/>
  <c r="I64" i="18" s="1"/>
  <c r="K64" i="18" s="1"/>
  <c r="L64" i="18" s="1"/>
  <c r="M64" i="18" s="1"/>
  <c r="O64" i="18" s="1"/>
  <c r="P64" i="18" s="1"/>
  <c r="Q64" i="18" s="1"/>
  <c r="G64" i="18"/>
  <c r="Q52" i="18"/>
  <c r="E52" i="18"/>
  <c r="K66" i="18"/>
  <c r="M66" i="18" s="1"/>
  <c r="F66" i="18"/>
  <c r="J66" i="18" s="1"/>
  <c r="I66" i="18"/>
  <c r="G66" i="18"/>
  <c r="N66" i="18"/>
  <c r="I46" i="18"/>
  <c r="J46" i="18"/>
  <c r="L46" i="18" s="1"/>
  <c r="M46" i="18" s="1"/>
  <c r="N46" i="18" s="1"/>
  <c r="O46" i="18" s="1"/>
  <c r="P46" i="18" s="1"/>
  <c r="Q28" i="18"/>
  <c r="K28" i="18"/>
  <c r="M52" i="18"/>
  <c r="N52" i="18"/>
  <c r="E58" i="18"/>
  <c r="Q58" i="18"/>
  <c r="O61" i="18"/>
  <c r="P61" i="18"/>
  <c r="Q61" i="18" s="1"/>
  <c r="Q34" i="18"/>
  <c r="E34" i="18"/>
  <c r="M68" i="18"/>
  <c r="H68" i="18"/>
  <c r="P68" i="18"/>
  <c r="K68" i="18"/>
  <c r="Q68" i="18"/>
  <c r="L68" i="18"/>
  <c r="G68" i="18"/>
  <c r="O68" i="18"/>
  <c r="I68" i="18"/>
  <c r="N64" i="18"/>
  <c r="J64" i="18"/>
  <c r="B33" i="17"/>
  <c r="D20" i="17" s="1"/>
  <c r="B27" i="17"/>
  <c r="O38" i="16"/>
  <c r="M38" i="16"/>
  <c r="K38" i="16"/>
  <c r="I38" i="16"/>
  <c r="G38" i="16"/>
  <c r="E35" i="16"/>
  <c r="G33" i="16" s="1"/>
  <c r="B34" i="16"/>
  <c r="O33" i="16"/>
  <c r="M33" i="16"/>
  <c r="I31" i="16"/>
  <c r="H31" i="16"/>
  <c r="E31" i="16"/>
  <c r="B29" i="16"/>
  <c r="D18" i="16" s="1"/>
  <c r="W27" i="16"/>
  <c r="B27" i="16"/>
  <c r="B25" i="16"/>
  <c r="F35" i="16" s="1"/>
  <c r="B23" i="16"/>
  <c r="D14" i="16" s="1"/>
  <c r="F19" i="16"/>
  <c r="N19" i="16" s="1"/>
  <c r="D15" i="16"/>
  <c r="P31" i="16" l="1"/>
  <c r="K35" i="16"/>
  <c r="Q31" i="16"/>
  <c r="E33" i="16"/>
  <c r="M31" i="16"/>
  <c r="I33" i="16"/>
  <c r="K33" i="16"/>
  <c r="P35" i="16"/>
  <c r="I22" i="16"/>
  <c r="B32" i="16"/>
  <c r="B36" i="16" s="1"/>
  <c r="F33" i="16"/>
  <c r="N33" i="16"/>
  <c r="H35" i="16"/>
  <c r="F25" i="16"/>
  <c r="N25" i="16" s="1"/>
  <c r="L35" i="16"/>
  <c r="Q33" i="16"/>
  <c r="Q35" i="16"/>
  <c r="D31" i="16"/>
  <c r="D16" i="16"/>
  <c r="H17" i="16"/>
  <c r="P17" i="16" s="1"/>
  <c r="D26" i="16"/>
  <c r="E27" i="16" s="1"/>
  <c r="M27" i="16" s="1"/>
  <c r="O35" i="16"/>
  <c r="M35" i="16"/>
  <c r="D19" i="16"/>
  <c r="D24" i="16"/>
  <c r="L31" i="16"/>
  <c r="J33" i="16"/>
  <c r="G35" i="16"/>
  <c r="O52" i="18"/>
  <c r="P52" i="18"/>
  <c r="O66" i="18"/>
  <c r="Q66" i="18"/>
  <c r="D27" i="17"/>
  <c r="E28" i="17" s="1"/>
  <c r="B36" i="17"/>
  <c r="B40" i="17" s="1"/>
  <c r="H34" i="17"/>
  <c r="L34" i="17" s="1"/>
  <c r="D26" i="17"/>
  <c r="H24" i="17"/>
  <c r="P24" i="17" s="1"/>
  <c r="D17" i="17"/>
  <c r="E16" i="17" s="1"/>
  <c r="D24" i="17"/>
  <c r="D32" i="17"/>
  <c r="D33" i="17"/>
  <c r="E32" i="17" s="1"/>
  <c r="D18" i="17"/>
  <c r="D28" i="17"/>
  <c r="D16" i="17"/>
  <c r="F36" i="17"/>
  <c r="J36" i="17" s="1"/>
  <c r="D25" i="17"/>
  <c r="E24" i="17" s="1"/>
  <c r="F16" i="17"/>
  <c r="J16" i="17" s="1"/>
  <c r="D19" i="17"/>
  <c r="E18" i="17" s="1"/>
  <c r="F32" i="17"/>
  <c r="J32" i="17" s="1"/>
  <c r="I23" i="17"/>
  <c r="J35" i="16"/>
  <c r="N35" i="16"/>
  <c r="L17" i="16"/>
  <c r="J25" i="16"/>
  <c r="J19" i="16"/>
  <c r="F31" i="16"/>
  <c r="I35" i="16"/>
  <c r="F15" i="16"/>
  <c r="D17" i="16"/>
  <c r="D23" i="16"/>
  <c r="H23" i="16"/>
  <c r="D25" i="16"/>
  <c r="D27" i="16"/>
  <c r="H27" i="16"/>
  <c r="G31" i="16"/>
  <c r="K31" i="16"/>
  <c r="O31" i="16"/>
  <c r="D32" i="16"/>
  <c r="H33" i="16"/>
  <c r="K23" i="16" l="1"/>
  <c r="J23" i="16"/>
  <c r="N23" i="16"/>
  <c r="O27" i="16"/>
  <c r="G23" i="16"/>
  <c r="F23" i="16"/>
  <c r="K27" i="16"/>
  <c r="O23" i="16"/>
  <c r="G27" i="16"/>
  <c r="N27" i="16"/>
  <c r="Q27" i="16"/>
  <c r="O25" i="16"/>
  <c r="J27" i="16"/>
  <c r="H25" i="16"/>
  <c r="Q23" i="16"/>
  <c r="Q25" i="16"/>
  <c r="M23" i="16"/>
  <c r="I23" i="16"/>
  <c r="E23" i="16"/>
  <c r="M25" i="16"/>
  <c r="I25" i="16"/>
  <c r="E25" i="16"/>
  <c r="K25" i="16"/>
  <c r="F27" i="16"/>
  <c r="I27" i="16"/>
  <c r="G25" i="16"/>
  <c r="Q16" i="17"/>
  <c r="L16" i="17"/>
  <c r="G16" i="17"/>
  <c r="I16" i="17"/>
  <c r="H16" i="17"/>
  <c r="P16" i="17"/>
  <c r="K16" i="17"/>
  <c r="O16" i="17"/>
  <c r="M16" i="17"/>
  <c r="H18" i="17"/>
  <c r="L18" i="17" s="1"/>
  <c r="F26" i="17"/>
  <c r="N26" i="17" s="1"/>
  <c r="F20" i="17"/>
  <c r="J20" i="17" s="1"/>
  <c r="O20" i="17"/>
  <c r="G20" i="17"/>
  <c r="M18" i="17"/>
  <c r="M20" i="17"/>
  <c r="E20" i="17"/>
  <c r="K18" i="17"/>
  <c r="K20" i="17"/>
  <c r="Q18" i="17"/>
  <c r="I18" i="17"/>
  <c r="Q20" i="17"/>
  <c r="I20" i="17"/>
  <c r="O18" i="17"/>
  <c r="G18" i="17"/>
  <c r="F18" i="17"/>
  <c r="N18" i="17" s="1"/>
  <c r="H20" i="17"/>
  <c r="L20" i="17" s="1"/>
  <c r="O24" i="17"/>
  <c r="J24" i="17"/>
  <c r="N24" i="17"/>
  <c r="I24" i="17"/>
  <c r="M24" i="17"/>
  <c r="G24" i="17"/>
  <c r="Q24" i="17"/>
  <c r="K24" i="17"/>
  <c r="F24" i="17"/>
  <c r="H28" i="17"/>
  <c r="P28" i="17" s="1"/>
  <c r="F28" i="17"/>
  <c r="J28" i="17" s="1"/>
  <c r="H26" i="17"/>
  <c r="L26" i="17" s="1"/>
  <c r="O28" i="17"/>
  <c r="G28" i="17"/>
  <c r="G26" i="17"/>
  <c r="M28" i="17"/>
  <c r="E26" i="17"/>
  <c r="K28" i="17"/>
  <c r="Q28" i="17"/>
  <c r="I28" i="17"/>
  <c r="M32" i="17"/>
  <c r="H32" i="17"/>
  <c r="Q32" i="17"/>
  <c r="L32" i="17"/>
  <c r="G32" i="17"/>
  <c r="P32" i="17"/>
  <c r="K32" i="17"/>
  <c r="O32" i="17"/>
  <c r="I32" i="17"/>
  <c r="L24" i="17"/>
  <c r="P34" i="17"/>
  <c r="J26" i="17"/>
  <c r="N32" i="17"/>
  <c r="D15" i="17"/>
  <c r="N16" i="17"/>
  <c r="D22" i="17"/>
  <c r="N36" i="17"/>
  <c r="D30" i="17"/>
  <c r="P33" i="16"/>
  <c r="L33" i="16"/>
  <c r="P23" i="16"/>
  <c r="L23" i="16"/>
  <c r="P27" i="16"/>
  <c r="L27" i="16"/>
  <c r="N31" i="16"/>
  <c r="J31" i="16"/>
  <c r="D21" i="16"/>
  <c r="N15" i="16"/>
  <c r="J15" i="16"/>
  <c r="D29" i="16"/>
  <c r="L25" i="16" l="1"/>
  <c r="P25" i="16"/>
  <c r="N20" i="17"/>
  <c r="P18" i="17"/>
  <c r="J18" i="17"/>
  <c r="L28" i="17"/>
  <c r="P20" i="17"/>
  <c r="P26" i="17"/>
  <c r="O26" i="17"/>
  <c r="M26" i="17"/>
  <c r="K26" i="17"/>
  <c r="Q26" i="17"/>
  <c r="I26" i="17"/>
  <c r="N28" i="17"/>
  <c r="E35" i="1"/>
  <c r="Q33" i="1" s="1"/>
  <c r="Q35" i="1" l="1"/>
  <c r="U33" i="1"/>
  <c r="U35" i="1"/>
  <c r="Y35" i="1"/>
  <c r="Y33" i="1"/>
  <c r="M35" i="1"/>
  <c r="E33" i="1"/>
  <c r="I33" i="1"/>
  <c r="M33" i="1"/>
  <c r="I35" i="1"/>
  <c r="J33" i="14"/>
  <c r="L35" i="14" s="1"/>
  <c r="N33" i="14" l="1"/>
  <c r="P35" i="14" s="1"/>
  <c r="H35" i="14"/>
  <c r="B6" i="15"/>
  <c r="B6" i="14" l="1"/>
  <c r="E38" i="1" l="1"/>
  <c r="B6" i="1" l="1"/>
  <c r="S27" i="15"/>
  <c r="P38" i="15"/>
  <c r="N38" i="15"/>
  <c r="L38" i="15"/>
  <c r="J38" i="15"/>
  <c r="H38" i="15"/>
  <c r="F38" i="15"/>
  <c r="B37" i="15"/>
  <c r="W29" i="15"/>
  <c r="S23" i="15"/>
  <c r="S22" i="15"/>
  <c r="B26" i="15" l="1"/>
  <c r="B28" i="15"/>
  <c r="B32" i="15"/>
  <c r="D18" i="15" s="1"/>
  <c r="H19" i="15" s="1"/>
  <c r="B30" i="15"/>
  <c r="W27" i="14"/>
  <c r="P38" i="14"/>
  <c r="N38" i="14"/>
  <c r="L38" i="14"/>
  <c r="J38" i="14"/>
  <c r="H38" i="14"/>
  <c r="F38" i="14"/>
  <c r="B34" i="14"/>
  <c r="S24" i="14"/>
  <c r="S23" i="14"/>
  <c r="S21" i="14"/>
  <c r="S20" i="14"/>
  <c r="AI27" i="1"/>
  <c r="AE21" i="1"/>
  <c r="AE22" i="1"/>
  <c r="AE23" i="1"/>
  <c r="AE24" i="1"/>
  <c r="AE20" i="1"/>
  <c r="Y38" i="1"/>
  <c r="I38" i="1"/>
  <c r="M38" i="1"/>
  <c r="Q38" i="1"/>
  <c r="U38" i="1"/>
  <c r="B34" i="1"/>
  <c r="B25" i="1" l="1"/>
  <c r="W35" i="1" s="1"/>
  <c r="F15" i="15"/>
  <c r="H17" i="15"/>
  <c r="P17" i="15" s="1"/>
  <c r="F19" i="15"/>
  <c r="N19" i="15" s="1"/>
  <c r="F25" i="15"/>
  <c r="F35" i="15"/>
  <c r="H27" i="15"/>
  <c r="F31" i="15"/>
  <c r="H23" i="15"/>
  <c r="H33" i="15"/>
  <c r="F17" i="15"/>
  <c r="P19" i="15"/>
  <c r="N17" i="15"/>
  <c r="L19" i="15"/>
  <c r="J17" i="15"/>
  <c r="B23" i="1"/>
  <c r="M22" i="1" s="1"/>
  <c r="N15" i="15"/>
  <c r="I22" i="15"/>
  <c r="D16" i="15"/>
  <c r="H15" i="15" s="1"/>
  <c r="D17" i="15"/>
  <c r="D19" i="15"/>
  <c r="D15" i="15"/>
  <c r="D31" i="15"/>
  <c r="D27" i="15"/>
  <c r="D26" i="15"/>
  <c r="F27" i="15" s="1"/>
  <c r="D24" i="15"/>
  <c r="F23" i="15" s="1"/>
  <c r="D32" i="15"/>
  <c r="H31" i="15" s="1"/>
  <c r="D25" i="15"/>
  <c r="D23" i="15"/>
  <c r="B35" i="15"/>
  <c r="B39" i="15" s="1"/>
  <c r="B23" i="14"/>
  <c r="I22" i="14" s="1"/>
  <c r="B25" i="14"/>
  <c r="B27" i="14"/>
  <c r="B29" i="14"/>
  <c r="B29" i="1"/>
  <c r="D15" i="1" s="1"/>
  <c r="B27" i="1"/>
  <c r="K23" i="1" s="1"/>
  <c r="L25" i="15" l="1"/>
  <c r="H25" i="15"/>
  <c r="N27" i="15"/>
  <c r="P25" i="15"/>
  <c r="J27" i="15"/>
  <c r="L15" i="15"/>
  <c r="P15" i="15"/>
  <c r="N23" i="15"/>
  <c r="J23" i="15"/>
  <c r="L31" i="15"/>
  <c r="P31" i="15"/>
  <c r="D29" i="15"/>
  <c r="F25" i="14"/>
  <c r="H27" i="14"/>
  <c r="F31" i="14"/>
  <c r="H23" i="14"/>
  <c r="F15" i="14"/>
  <c r="H17" i="14"/>
  <c r="F19" i="14"/>
  <c r="H33" i="14"/>
  <c r="F35" i="14"/>
  <c r="G15" i="1"/>
  <c r="G19" i="1"/>
  <c r="G31" i="1"/>
  <c r="G35" i="1"/>
  <c r="G25" i="1"/>
  <c r="G27" i="1"/>
  <c r="O35" i="1"/>
  <c r="S33" i="1"/>
  <c r="W31" i="1"/>
  <c r="O31" i="1"/>
  <c r="K33" i="1"/>
  <c r="J19" i="15"/>
  <c r="S27" i="1"/>
  <c r="J15" i="15"/>
  <c r="W25" i="1"/>
  <c r="W27" i="1"/>
  <c r="K25" i="1"/>
  <c r="L17" i="15"/>
  <c r="D21" i="15"/>
  <c r="P27" i="15"/>
  <c r="L27" i="15"/>
  <c r="P33" i="15"/>
  <c r="L33" i="15"/>
  <c r="J31" i="15"/>
  <c r="N31" i="15"/>
  <c r="P23" i="15"/>
  <c r="L23" i="15"/>
  <c r="N25" i="15"/>
  <c r="J25" i="15"/>
  <c r="N35" i="15"/>
  <c r="J35" i="15"/>
  <c r="D14" i="15"/>
  <c r="W19" i="1"/>
  <c r="K17" i="1"/>
  <c r="O15" i="1"/>
  <c r="O19" i="1"/>
  <c r="S17" i="1"/>
  <c r="W15" i="1"/>
  <c r="O27" i="1"/>
  <c r="S25" i="1"/>
  <c r="S23" i="1"/>
  <c r="K27" i="1"/>
  <c r="O25" i="1"/>
  <c r="B32" i="14"/>
  <c r="B36" i="14" s="1"/>
  <c r="D17" i="14"/>
  <c r="D16" i="14"/>
  <c r="D19" i="14"/>
  <c r="D18" i="14"/>
  <c r="H19" i="14" s="1"/>
  <c r="D15" i="14"/>
  <c r="D31" i="14"/>
  <c r="D23" i="14"/>
  <c r="D27" i="14"/>
  <c r="D25" i="14"/>
  <c r="D32" i="14"/>
  <c r="H31" i="14" s="1"/>
  <c r="D26" i="14"/>
  <c r="D24" i="14"/>
  <c r="F23" i="14" s="1"/>
  <c r="B32" i="1"/>
  <c r="B36" i="1" s="1"/>
  <c r="D17" i="1"/>
  <c r="D19" i="1"/>
  <c r="D16" i="1"/>
  <c r="D18" i="1"/>
  <c r="E19" i="1" s="1"/>
  <c r="D24" i="1"/>
  <c r="E23" i="1" s="1"/>
  <c r="D26" i="1"/>
  <c r="E27" i="1" s="1"/>
  <c r="D32" i="1"/>
  <c r="E31" i="1" s="1"/>
  <c r="D27" i="1"/>
  <c r="D25" i="1"/>
  <c r="D23" i="1"/>
  <c r="D31" i="1"/>
  <c r="U15" i="1" l="1"/>
  <c r="E15" i="1"/>
  <c r="Q17" i="1"/>
  <c r="U19" i="1"/>
  <c r="I17" i="1"/>
  <c r="M19" i="1"/>
  <c r="I15" i="1"/>
  <c r="Y19" i="1"/>
  <c r="Q15" i="1"/>
  <c r="E17" i="1"/>
  <c r="U17" i="1"/>
  <c r="Q19" i="1"/>
  <c r="M15" i="1"/>
  <c r="Y17" i="1"/>
  <c r="Y15" i="1"/>
  <c r="M17" i="1"/>
  <c r="I19" i="1"/>
  <c r="F27" i="14"/>
  <c r="H25" i="14" s="1"/>
  <c r="Y23" i="1"/>
  <c r="I23" i="1"/>
  <c r="U23" i="1"/>
  <c r="Q23" i="1"/>
  <c r="M23" i="1"/>
  <c r="Y25" i="1"/>
  <c r="I25" i="1"/>
  <c r="Q27" i="1"/>
  <c r="U25" i="1"/>
  <c r="E25" i="1"/>
  <c r="M27" i="1"/>
  <c r="Q25" i="1"/>
  <c r="Y27" i="1"/>
  <c r="I27" i="1"/>
  <c r="M25" i="1"/>
  <c r="U27" i="1"/>
  <c r="U31" i="1"/>
  <c r="Q31" i="1"/>
  <c r="M31" i="1"/>
  <c r="Y31" i="1"/>
  <c r="I31" i="1"/>
  <c r="N23" i="14"/>
  <c r="J23" i="14"/>
  <c r="H15" i="14"/>
  <c r="F17" i="14"/>
  <c r="L15" i="14"/>
  <c r="J17" i="14"/>
  <c r="P15" i="14"/>
  <c r="P19" i="14"/>
  <c r="N17" i="14"/>
  <c r="L19" i="14"/>
  <c r="P31" i="14"/>
  <c r="L31" i="14"/>
  <c r="D29" i="1"/>
  <c r="D14" i="14"/>
  <c r="D21" i="14"/>
  <c r="D29" i="14"/>
  <c r="P27" i="14"/>
  <c r="L27" i="14"/>
  <c r="J15" i="14"/>
  <c r="N15" i="14"/>
  <c r="L17" i="14"/>
  <c r="P17" i="14"/>
  <c r="P23" i="14"/>
  <c r="L23" i="14"/>
  <c r="N31" i="14"/>
  <c r="J31" i="14"/>
  <c r="N27" i="14"/>
  <c r="J27" i="14"/>
  <c r="P33" i="14"/>
  <c r="L33" i="14"/>
  <c r="N35" i="14"/>
  <c r="J35" i="14"/>
  <c r="J19" i="14"/>
  <c r="N19" i="14"/>
  <c r="J25" i="14"/>
  <c r="N25" i="14"/>
  <c r="D21" i="1"/>
  <c r="D14" i="1"/>
  <c r="P25" i="14" l="1"/>
  <c r="L25" i="14"/>
</calcChain>
</file>

<file path=xl/sharedStrings.xml><?xml version="1.0" encoding="utf-8"?>
<sst xmlns="http://schemas.openxmlformats.org/spreadsheetml/2006/main" count="478" uniqueCount="81">
  <si>
    <t>Eave</t>
  </si>
  <si>
    <t># of Groups</t>
  </si>
  <si>
    <t># of Squares</t>
  </si>
  <si>
    <t xml:space="preserve">SG per SQ </t>
  </si>
  <si>
    <t xml:space="preserve">1.  Enter Rafter Length </t>
  </si>
  <si>
    <t xml:space="preserve">Ridge </t>
  </si>
  <si>
    <t>Min</t>
  </si>
  <si>
    <t>Max</t>
  </si>
  <si>
    <t>Groups</t>
  </si>
  <si>
    <t>to</t>
  </si>
  <si>
    <t>Contact Berger</t>
  </si>
  <si>
    <t>Guards per group 2 (mid roof)</t>
  </si>
  <si>
    <t>Guards per group 1 (lower)</t>
  </si>
  <si>
    <t>Rafter Length</t>
  </si>
  <si>
    <t>Guards per row</t>
  </si>
  <si>
    <t>2.  Enter Eave width</t>
  </si>
  <si>
    <t>3.  Enter distance distance between the seam in inches</t>
  </si>
  <si>
    <t xml:space="preserve">4.  Contact Berger for snow loads &gt;50 psf </t>
  </si>
  <si>
    <t>Total Number of  SG</t>
  </si>
  <si>
    <t>Eave Length</t>
  </si>
  <si>
    <t>Seam Spacing</t>
  </si>
  <si>
    <t>┼</t>
  </si>
  <si>
    <t>┼─</t>
  </si>
  <si>
    <t>┬─</t>
  </si>
  <si>
    <t>┴─</t>
  </si>
  <si>
    <t xml:space="preserve">    │  </t>
  </si>
  <si>
    <t>Guards per group 3 (mid roof)</t>
  </si>
  <si>
    <t>Group 1 rows</t>
  </si>
  <si>
    <t>Group 2 rows</t>
  </si>
  <si>
    <t>Group 3 rows</t>
  </si>
  <si>
    <t>-&gt;</t>
  </si>
  <si>
    <t>Rib Spacing</t>
  </si>
  <si>
    <t>Project Name</t>
  </si>
  <si>
    <t>Date</t>
  </si>
  <si>
    <t xml:space="preserve">Snowguard </t>
  </si>
  <si>
    <t xml:space="preserve">3.  Contact Berger for snow loads &gt;50 psf </t>
  </si>
  <si>
    <t>Guard Spacing</t>
  </si>
  <si>
    <t xml:space="preserve">   │  </t>
  </si>
  <si>
    <t>Group 4 rows</t>
  </si>
  <si>
    <t>Group 5 rows</t>
  </si>
  <si>
    <t>Group 6 rows</t>
  </si>
  <si>
    <t>Group 7 rows</t>
  </si>
  <si>
    <t>Group 8 rows</t>
  </si>
  <si>
    <t>Group 9 rows</t>
  </si>
  <si>
    <t>Group 10 rows</t>
  </si>
  <si>
    <t>Group 11 rows</t>
  </si>
  <si>
    <t>Group 12 rows</t>
  </si>
  <si>
    <t># of Rows</t>
  </si>
  <si>
    <t>Guards per group 4 (mid roof)</t>
  </si>
  <si>
    <t>Guards per group 2 (lower)</t>
  </si>
  <si>
    <t>Guards per group 3 (lower)</t>
  </si>
  <si>
    <t xml:space="preserve">|    </t>
  </si>
  <si>
    <t xml:space="preserve">    │   </t>
  </si>
  <si>
    <t xml:space="preserve">┬─ </t>
  </si>
  <si>
    <t xml:space="preserve">┴─ </t>
  </si>
  <si>
    <t>*Note:  Layout Not To Scale*</t>
  </si>
  <si>
    <t>Seam Width</t>
  </si>
  <si>
    <t>Number Of Rails</t>
  </si>
  <si>
    <t>Number Of Seams</t>
  </si>
  <si>
    <t>Number of Castings</t>
  </si>
  <si>
    <t>Tubing</t>
  </si>
  <si>
    <t>Configuration</t>
  </si>
  <si>
    <t xml:space="preserve">│  </t>
  </si>
  <si>
    <t>F-E-S Rail</t>
  </si>
  <si>
    <t>Ground Snow Load</t>
  </si>
  <si>
    <t xml:space="preserve">      │ </t>
  </si>
  <si>
    <t>Slate Width (Horizontal Dimension)</t>
  </si>
  <si>
    <t>Slate Length (Vertical Dimension)</t>
  </si>
  <si>
    <t>Number of End Caps</t>
  </si>
  <si>
    <t xml:space="preserve">Disclamer: This suggested layout and  material list was prepared as a courtesy to our customer from written information supplied for this particular project.  Snowguard placement will vary from region to region and will be influenced by roof pitch as well as the length of runs and roofing type.  Berger accepts no responsibility for the accuracy of the information received, or for the accuracy of the estimate. Any errors, omissions, additions or deletions will be the customer's sole responsibility. Berger makes no warranty, express or implied, as to the accuracy or completeness of this estimate.   Additional recommendations can be found in the SMACNA Manual and other industry standards.  Ultimately, the project architect or engineer should approve placement.   </t>
  </si>
  <si>
    <t>Disclamer: This suggested layout and  material list was prepared as a courtesy to our customer from written information supplied for this particular project.  Snowguard placement will vary from region to region and will be influenced by roof pitch as well as the length of runs and roofing type.  Berger accepts no responsibility for the accuracy of the information received, or for the accuracy of the estimate. Any errors, omissions, additions or deletions will be the customer's sole responsibility. Berger makes no warranty, express or implied, as to the accuracy or completeness of this estimate.   Additional recommendations can be found in the SMACNA Manual and other industry standards.  Ultimately, the project architect or engineer should approve placement.</t>
  </si>
  <si>
    <t xml:space="preserve">3.  Enter Slate Dimensions </t>
  </si>
  <si>
    <t>3.  Enter Slate Dimensions</t>
  </si>
  <si>
    <t>FR 132</t>
  </si>
  <si>
    <t>Ragan</t>
  </si>
  <si>
    <t>Mullane 100s</t>
  </si>
  <si>
    <t>number of rails</t>
  </si>
  <si>
    <t>F-Rail</t>
  </si>
  <si>
    <t>E-Rail</t>
  </si>
  <si>
    <t>Rail System</t>
  </si>
  <si>
    <t>S-Rail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</si>
</sst>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quot;'&quot;"/>
    <numFmt numFmtId="166" formatCode="0&quot; in&quot;"/>
    <numFmt numFmtId="167" formatCode="0&quot; ft&quot;"/>
    <numFmt numFmtId="168" formatCode="0.0&quot;'&quot;"/>
    <numFmt numFmtId="169" formatCode="0.00&quot; ft&quot;"/>
    <numFmt numFmtId="170" formatCode="m/d/yy;@"/>
    <numFmt numFmtId="171" formatCode="0.0&quot; in&quot;"/>
  </numFmts>
  <fonts count="12" x14ac:knownFonts="1">
    <font>
      <sz val="10"/>
      <name val="Arial"/>
    </font>
    <font>
      <b/>
      <sz val="10"/>
      <name val="Arial"/>
      <family val="2"/>
    </font>
    <font>
      <sz val="10"/>
      <name val="Arial"/>
      <family val="2"/>
    </font>
    <font>
      <sz val="10"/>
      <color rgb="FF008000"/>
      <name val="Arial"/>
      <family val="2"/>
    </font>
    <font>
      <sz val="10"/>
      <color rgb="FF3333CC"/>
      <name val="Arial"/>
      <family val="2"/>
    </font>
    <font>
      <b/>
      <sz val="11"/>
      <color theme="1"/>
      <name val="Calibri"/>
      <family val="2"/>
      <scheme val="minor"/>
    </font>
    <font>
      <b/>
      <sz val="10"/>
      <name val="Calibri"/>
      <family val="2"/>
      <scheme val="minor"/>
    </font>
    <font>
      <b/>
      <sz val="11"/>
      <name val="Calibri"/>
      <family val="2"/>
      <scheme val="minor"/>
    </font>
    <font>
      <b/>
      <sz val="10"/>
      <color theme="1"/>
      <name val="Calibri"/>
      <family val="2"/>
      <scheme val="minor"/>
    </font>
    <font>
      <sz val="11"/>
      <name val="Arial"/>
      <family val="2"/>
    </font>
    <font>
      <b/>
      <sz val="9"/>
      <name val="Arial"/>
      <family val="2"/>
    </font>
    <font>
      <sz val="9"/>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lightGray">
        <bgColor theme="0"/>
      </patternFill>
    </fill>
    <fill>
      <patternFill patternType="solid">
        <fgColor indexed="65"/>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2">
    <xf numFmtId="0" fontId="0" fillId="0" borderId="0" xfId="0"/>
    <xf numFmtId="0" fontId="0" fillId="0" borderId="0" xfId="0" applyAlignment="1">
      <alignment horizontal="center"/>
    </xf>
    <xf numFmtId="0" fontId="2" fillId="0" borderId="0" xfId="0" applyFont="1" applyAlignment="1">
      <alignment horizontal="center"/>
    </xf>
    <xf numFmtId="164" fontId="0" fillId="0" borderId="0" xfId="0" applyNumberFormat="1" applyAlignment="1">
      <alignment horizontal="center"/>
    </xf>
    <xf numFmtId="0" fontId="2" fillId="0" borderId="11" xfId="0" applyFont="1" applyBorder="1" applyAlignment="1">
      <alignment horizontal="center"/>
    </xf>
    <xf numFmtId="0" fontId="2" fillId="0" borderId="0" xfId="0" applyFont="1"/>
    <xf numFmtId="0" fontId="1" fillId="0" borderId="0" xfId="0" applyFont="1" applyAlignment="1">
      <alignment horizontal="left"/>
    </xf>
    <xf numFmtId="0" fontId="1" fillId="0" borderId="0" xfId="0" applyFont="1" applyAlignment="1">
      <alignment horizontal="center"/>
    </xf>
    <xf numFmtId="165" fontId="2" fillId="0" borderId="0" xfId="0" applyNumberFormat="1" applyFont="1" applyAlignment="1">
      <alignment horizontal="center"/>
    </xf>
    <xf numFmtId="168" fontId="2" fillId="0" borderId="0" xfId="0" applyNumberFormat="1" applyFont="1" applyAlignment="1">
      <alignment horizontal="center"/>
    </xf>
    <xf numFmtId="165" fontId="3" fillId="0" borderId="0" xfId="0" applyNumberFormat="1" applyFont="1" applyAlignment="1">
      <alignment horizontal="center"/>
    </xf>
    <xf numFmtId="0" fontId="3" fillId="0" borderId="0" xfId="0" applyFont="1" applyAlignment="1">
      <alignment horizontal="center"/>
    </xf>
    <xf numFmtId="0" fontId="0" fillId="3" borderId="15" xfId="0" applyFill="1" applyBorder="1" applyAlignment="1">
      <alignment horizontal="center"/>
    </xf>
    <xf numFmtId="0" fontId="2" fillId="3" borderId="15" xfId="0" applyFont="1" applyFill="1" applyBorder="1" applyAlignment="1">
      <alignment horizontal="center"/>
    </xf>
    <xf numFmtId="0" fontId="2" fillId="3" borderId="14" xfId="0" applyFont="1" applyFill="1" applyBorder="1" applyAlignment="1">
      <alignment horizontal="center"/>
    </xf>
    <xf numFmtId="0" fontId="0" fillId="3" borderId="0" xfId="0" applyFill="1" applyAlignment="1">
      <alignment horizontal="center"/>
    </xf>
    <xf numFmtId="0" fontId="2" fillId="3" borderId="0" xfId="0" applyFont="1" applyFill="1" applyAlignment="1">
      <alignment horizontal="center"/>
    </xf>
    <xf numFmtId="0" fontId="2" fillId="3" borderId="11" xfId="0" applyFont="1" applyFill="1" applyBorder="1" applyAlignment="1">
      <alignment horizontal="center"/>
    </xf>
    <xf numFmtId="0" fontId="1" fillId="3" borderId="0" xfId="0" applyFont="1" applyFill="1" applyAlignment="1">
      <alignment horizontal="left"/>
    </xf>
    <xf numFmtId="0" fontId="0" fillId="3" borderId="13" xfId="0" applyFill="1" applyBorder="1" applyAlignment="1">
      <alignment horizontal="center"/>
    </xf>
    <xf numFmtId="0" fontId="2" fillId="3" borderId="13" xfId="0" applyFont="1" applyFill="1" applyBorder="1" applyAlignment="1">
      <alignment horizontal="center"/>
    </xf>
    <xf numFmtId="0" fontId="2" fillId="3" borderId="12" xfId="0" applyFont="1" applyFill="1" applyBorder="1" applyAlignment="1">
      <alignment horizontal="center"/>
    </xf>
    <xf numFmtId="0" fontId="0" fillId="4" borderId="0" xfId="0" applyFill="1"/>
    <xf numFmtId="0" fontId="2" fillId="4" borderId="0" xfId="0" applyFont="1" applyFill="1"/>
    <xf numFmtId="0" fontId="1" fillId="4" borderId="0" xfId="0" applyFont="1" applyFill="1" applyAlignment="1">
      <alignment horizontal="center"/>
    </xf>
    <xf numFmtId="0" fontId="2" fillId="4" borderId="0" xfId="0" applyFont="1" applyFill="1" applyAlignment="1">
      <alignment horizontal="right"/>
    </xf>
    <xf numFmtId="0" fontId="0" fillId="4" borderId="0" xfId="0" applyFill="1" applyAlignment="1">
      <alignment horizontal="center"/>
    </xf>
    <xf numFmtId="168" fontId="0" fillId="4" borderId="0" xfId="0" applyNumberFormat="1" applyFill="1" applyAlignment="1">
      <alignment horizontal="right"/>
    </xf>
    <xf numFmtId="0" fontId="1" fillId="4" borderId="1" xfId="0" applyFont="1" applyFill="1" applyBorder="1" applyAlignment="1">
      <alignment horizontal="center"/>
    </xf>
    <xf numFmtId="165" fontId="0" fillId="4" borderId="0" xfId="0" applyNumberFormat="1" applyFill="1" applyAlignment="1">
      <alignment horizontal="right"/>
    </xf>
    <xf numFmtId="0" fontId="2" fillId="4" borderId="0" xfId="0" applyFont="1" applyFill="1" applyAlignment="1">
      <alignment horizontal="center"/>
    </xf>
    <xf numFmtId="0" fontId="1" fillId="4" borderId="7" xfId="0" applyFont="1" applyFill="1" applyBorder="1" applyAlignment="1">
      <alignment horizontal="center"/>
    </xf>
    <xf numFmtId="0" fontId="2" fillId="4" borderId="7" xfId="0" applyFont="1" applyFill="1" applyBorder="1" applyAlignment="1">
      <alignment horizontal="center"/>
    </xf>
    <xf numFmtId="1" fontId="2" fillId="4" borderId="7" xfId="0" applyNumberFormat="1" applyFont="1" applyFill="1" applyBorder="1" applyAlignment="1">
      <alignment horizontal="center"/>
    </xf>
    <xf numFmtId="0" fontId="1" fillId="4" borderId="0" xfId="0" applyFont="1" applyFill="1" applyAlignment="1">
      <alignment horizontal="right"/>
    </xf>
    <xf numFmtId="165" fontId="2" fillId="4" borderId="0" xfId="0" applyNumberFormat="1" applyFont="1" applyFill="1" applyAlignment="1">
      <alignment horizontal="right"/>
    </xf>
    <xf numFmtId="1" fontId="1" fillId="4" borderId="2" xfId="0" applyNumberFormat="1" applyFont="1" applyFill="1" applyBorder="1" applyAlignment="1">
      <alignment horizontal="center"/>
    </xf>
    <xf numFmtId="0" fontId="0" fillId="4" borderId="0" xfId="0" applyFill="1" applyAlignment="1">
      <alignment horizontal="right"/>
    </xf>
    <xf numFmtId="166" fontId="0" fillId="4" borderId="0" xfId="0" applyNumberFormat="1" applyFill="1" applyAlignment="1">
      <alignment horizontal="center"/>
    </xf>
    <xf numFmtId="1" fontId="2" fillId="4" borderId="0" xfId="0" applyNumberFormat="1" applyFont="1" applyFill="1" applyAlignment="1">
      <alignment horizontal="center"/>
    </xf>
    <xf numFmtId="14" fontId="2" fillId="4" borderId="0" xfId="0" applyNumberFormat="1" applyFont="1" applyFill="1" applyAlignment="1">
      <alignment horizontal="left"/>
    </xf>
    <xf numFmtId="0" fontId="2" fillId="4" borderId="2" xfId="0" applyFont="1" applyFill="1" applyBorder="1" applyAlignment="1">
      <alignment horizontal="center"/>
    </xf>
    <xf numFmtId="164" fontId="2" fillId="4" borderId="2" xfId="0" applyNumberFormat="1" applyFont="1" applyFill="1" applyBorder="1" applyAlignment="1">
      <alignment horizontal="center"/>
    </xf>
    <xf numFmtId="1" fontId="2" fillId="4" borderId="2" xfId="0" applyNumberFormat="1" applyFont="1" applyFill="1" applyBorder="1" applyAlignment="1">
      <alignment horizontal="center"/>
    </xf>
    <xf numFmtId="0" fontId="0" fillId="5" borderId="21" xfId="0" applyFill="1" applyBorder="1" applyAlignment="1">
      <alignment horizontal="center"/>
    </xf>
    <xf numFmtId="0" fontId="2" fillId="5" borderId="21" xfId="0" applyFont="1" applyFill="1" applyBorder="1" applyAlignment="1">
      <alignment horizontal="center"/>
    </xf>
    <xf numFmtId="0" fontId="2" fillId="5" borderId="22" xfId="0" applyFont="1" applyFill="1" applyBorder="1" applyAlignment="1">
      <alignment horizontal="center"/>
    </xf>
    <xf numFmtId="0" fontId="2" fillId="0" borderId="16" xfId="0" applyFont="1" applyBorder="1" applyAlignment="1">
      <alignment horizontal="right"/>
    </xf>
    <xf numFmtId="0" fontId="0" fillId="0" borderId="17" xfId="0" applyBorder="1" applyAlignment="1">
      <alignment horizontal="center"/>
    </xf>
    <xf numFmtId="0" fontId="0" fillId="0" borderId="18" xfId="0" applyBorder="1" applyAlignment="1">
      <alignment horizontal="center"/>
    </xf>
    <xf numFmtId="168" fontId="0" fillId="0" borderId="15" xfId="0" applyNumberFormat="1" applyBorder="1" applyAlignment="1">
      <alignment horizontal="right"/>
    </xf>
    <xf numFmtId="0" fontId="0" fillId="0" borderId="13" xfId="0" applyBorder="1" applyAlignment="1">
      <alignment horizontal="center"/>
    </xf>
    <xf numFmtId="165" fontId="0" fillId="0" borderId="15" xfId="0" applyNumberFormat="1" applyBorder="1" applyAlignment="1">
      <alignment horizontal="right"/>
    </xf>
    <xf numFmtId="0" fontId="2" fillId="0" borderId="13" xfId="0" applyFont="1" applyBorder="1" applyAlignment="1">
      <alignment horizontal="center"/>
    </xf>
    <xf numFmtId="0" fontId="2" fillId="0" borderId="15" xfId="0" applyFont="1" applyBorder="1" applyAlignment="1">
      <alignment horizontal="right"/>
    </xf>
    <xf numFmtId="0" fontId="1" fillId="0" borderId="15" xfId="0" applyFont="1" applyBorder="1" applyAlignment="1">
      <alignment horizontal="right"/>
    </xf>
    <xf numFmtId="165" fontId="2" fillId="0" borderId="15" xfId="0" applyNumberFormat="1" applyFont="1" applyBorder="1" applyAlignment="1">
      <alignment horizontal="right"/>
    </xf>
    <xf numFmtId="0" fontId="0" fillId="0" borderId="15" xfId="0" applyBorder="1" applyAlignment="1">
      <alignment horizontal="right"/>
    </xf>
    <xf numFmtId="0" fontId="2" fillId="0" borderId="20" xfId="0" applyFont="1" applyBorder="1" applyAlignment="1">
      <alignment horizontal="right"/>
    </xf>
    <xf numFmtId="0" fontId="2" fillId="0" borderId="19" xfId="0" applyFont="1" applyBorder="1" applyAlignment="1">
      <alignment horizontal="center"/>
    </xf>
    <xf numFmtId="0" fontId="0" fillId="4" borderId="2" xfId="0" applyFill="1" applyBorder="1" applyAlignment="1">
      <alignment horizontal="center"/>
    </xf>
    <xf numFmtId="0" fontId="0" fillId="4" borderId="7" xfId="0" applyFill="1" applyBorder="1" applyAlignment="1">
      <alignment horizontal="center"/>
    </xf>
    <xf numFmtId="164" fontId="0" fillId="4" borderId="2" xfId="0" applyNumberFormat="1" applyFill="1" applyBorder="1" applyAlignment="1">
      <alignment horizontal="center"/>
    </xf>
    <xf numFmtId="166" fontId="2" fillId="4" borderId="0" xfId="0" quotePrefix="1" applyNumberFormat="1" applyFont="1" applyFill="1" applyAlignment="1">
      <alignment horizontal="center"/>
    </xf>
    <xf numFmtId="1" fontId="0" fillId="4" borderId="2" xfId="0" applyNumberFormat="1" applyFill="1" applyBorder="1" applyAlignment="1">
      <alignment horizontal="center"/>
    </xf>
    <xf numFmtId="0" fontId="0" fillId="3" borderId="0" xfId="0" applyFill="1"/>
    <xf numFmtId="0" fontId="2" fillId="3" borderId="0" xfId="0" applyFont="1" applyFill="1"/>
    <xf numFmtId="0" fontId="2" fillId="3" borderId="10" xfId="0" applyFont="1" applyFill="1" applyBorder="1" applyAlignment="1">
      <alignment horizontal="center"/>
    </xf>
    <xf numFmtId="168" fontId="1" fillId="4" borderId="0" xfId="0" applyNumberFormat="1" applyFont="1" applyFill="1" applyAlignment="1">
      <alignment horizontal="right"/>
    </xf>
    <xf numFmtId="165" fontId="1" fillId="4" borderId="0" xfId="0" applyNumberFormat="1" applyFont="1" applyFill="1" applyAlignment="1">
      <alignment horizontal="right"/>
    </xf>
    <xf numFmtId="166" fontId="1" fillId="4" borderId="0" xfId="0" applyNumberFormat="1" applyFont="1" applyFill="1" applyAlignment="1">
      <alignment horizontal="center"/>
    </xf>
    <xf numFmtId="166" fontId="1" fillId="4" borderId="0" xfId="0" quotePrefix="1" applyNumberFormat="1" applyFont="1" applyFill="1" applyAlignment="1">
      <alignment horizontal="center"/>
    </xf>
    <xf numFmtId="0" fontId="2" fillId="3" borderId="1" xfId="0" applyFont="1" applyFill="1" applyBorder="1" applyAlignment="1">
      <alignment horizontal="center"/>
    </xf>
    <xf numFmtId="0" fontId="2" fillId="3" borderId="7" xfId="0" applyFont="1" applyFill="1" applyBorder="1" applyAlignment="1">
      <alignment horizontal="center"/>
    </xf>
    <xf numFmtId="0" fontId="1" fillId="3" borderId="7" xfId="0" applyFont="1" applyFill="1" applyBorder="1" applyAlignment="1">
      <alignment horizontal="left"/>
    </xf>
    <xf numFmtId="0" fontId="2" fillId="3" borderId="7" xfId="0" applyFont="1" applyFill="1" applyBorder="1"/>
    <xf numFmtId="0" fontId="2" fillId="3" borderId="2" xfId="0" applyFont="1" applyFill="1" applyBorder="1" applyAlignment="1">
      <alignment horizontal="center"/>
    </xf>
    <xf numFmtId="0" fontId="2" fillId="3" borderId="1" xfId="0" applyFont="1" applyFill="1" applyBorder="1" applyAlignment="1">
      <alignment horizontal="right"/>
    </xf>
    <xf numFmtId="168" fontId="0" fillId="3" borderId="7" xfId="0" applyNumberFormat="1" applyFill="1" applyBorder="1" applyAlignment="1">
      <alignment horizontal="right"/>
    </xf>
    <xf numFmtId="165" fontId="0" fillId="3" borderId="7" xfId="0" applyNumberFormat="1" applyFill="1" applyBorder="1" applyAlignment="1">
      <alignment horizontal="right"/>
    </xf>
    <xf numFmtId="0" fontId="2" fillId="3" borderId="7" xfId="0" applyFont="1" applyFill="1" applyBorder="1" applyAlignment="1">
      <alignment horizontal="right"/>
    </xf>
    <xf numFmtId="0" fontId="1" fillId="3" borderId="7" xfId="0" applyFont="1" applyFill="1" applyBorder="1" applyAlignment="1">
      <alignment horizontal="right"/>
    </xf>
    <xf numFmtId="165" fontId="2" fillId="3" borderId="7" xfId="0" applyNumberFormat="1" applyFont="1" applyFill="1" applyBorder="1" applyAlignment="1">
      <alignment horizontal="right"/>
    </xf>
    <xf numFmtId="0" fontId="0" fillId="3" borderId="7" xfId="0" applyFill="1" applyBorder="1" applyAlignment="1">
      <alignment horizontal="right"/>
    </xf>
    <xf numFmtId="0" fontId="2" fillId="3" borderId="2" xfId="0" applyFont="1" applyFill="1" applyBorder="1" applyAlignment="1">
      <alignment horizontal="right"/>
    </xf>
    <xf numFmtId="0" fontId="0" fillId="3" borderId="1" xfId="0" applyFill="1" applyBorder="1" applyAlignment="1">
      <alignment horizontal="center"/>
    </xf>
    <xf numFmtId="0" fontId="0" fillId="3" borderId="7" xfId="0" applyFill="1" applyBorder="1" applyAlignment="1">
      <alignment horizontal="center"/>
    </xf>
    <xf numFmtId="0" fontId="0" fillId="5" borderId="0" xfId="0" applyFill="1" applyAlignment="1">
      <alignment horizontal="center"/>
    </xf>
    <xf numFmtId="0" fontId="2" fillId="5" borderId="0" xfId="0" applyFont="1" applyFill="1" applyAlignment="1">
      <alignment horizontal="center"/>
    </xf>
    <xf numFmtId="0" fontId="2" fillId="5" borderId="11" xfId="0" applyFont="1" applyFill="1" applyBorder="1" applyAlignment="1">
      <alignment horizontal="center"/>
    </xf>
    <xf numFmtId="0" fontId="2" fillId="3" borderId="13" xfId="0" quotePrefix="1" applyFont="1" applyFill="1" applyBorder="1" applyAlignment="1">
      <alignment horizontal="center"/>
    </xf>
    <xf numFmtId="0" fontId="0" fillId="3" borderId="3" xfId="0" applyFill="1" applyBorder="1" applyAlignment="1">
      <alignment horizontal="center"/>
    </xf>
    <xf numFmtId="0" fontId="0" fillId="3" borderId="25" xfId="0" applyFill="1" applyBorder="1" applyAlignment="1">
      <alignment horizontal="center"/>
    </xf>
    <xf numFmtId="0" fontId="0" fillId="5" borderId="10" xfId="0" applyFill="1" applyBorder="1" applyAlignment="1">
      <alignment horizontal="center"/>
    </xf>
    <xf numFmtId="0" fontId="0" fillId="3" borderId="24" xfId="0" applyFill="1" applyBorder="1" applyAlignment="1">
      <alignment horizontal="center"/>
    </xf>
    <xf numFmtId="0" fontId="0" fillId="3" borderId="10" xfId="0" applyFill="1" applyBorder="1" applyAlignment="1">
      <alignment horizontal="center"/>
    </xf>
    <xf numFmtId="0" fontId="0" fillId="5" borderId="23" xfId="0" applyFill="1" applyBorder="1" applyAlignment="1">
      <alignment horizontal="center"/>
    </xf>
    <xf numFmtId="0" fontId="0" fillId="3" borderId="4"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3" borderId="8" xfId="0" quotePrefix="1"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0" fillId="6" borderId="0" xfId="0" applyFill="1"/>
    <xf numFmtId="0" fontId="6" fillId="4" borderId="0" xfId="0" applyFont="1" applyFill="1" applyAlignment="1">
      <alignment horizontal="right"/>
    </xf>
    <xf numFmtId="0" fontId="2" fillId="3" borderId="3" xfId="0" applyFont="1" applyFill="1" applyBorder="1" applyAlignment="1">
      <alignment horizontal="right"/>
    </xf>
    <xf numFmtId="168" fontId="5" fillId="4" borderId="0" xfId="0" applyNumberFormat="1" applyFont="1" applyFill="1" applyAlignment="1">
      <alignment horizontal="right"/>
    </xf>
    <xf numFmtId="168" fontId="0" fillId="3" borderId="8" xfId="0" applyNumberFormat="1" applyFill="1" applyBorder="1" applyAlignment="1">
      <alignment horizontal="right"/>
    </xf>
    <xf numFmtId="165" fontId="5" fillId="4" borderId="0" xfId="0" applyNumberFormat="1" applyFont="1" applyFill="1" applyAlignment="1">
      <alignment horizontal="right"/>
    </xf>
    <xf numFmtId="165" fontId="0" fillId="3" borderId="8" xfId="0" applyNumberFormat="1" applyFill="1" applyBorder="1" applyAlignment="1">
      <alignment horizontal="right"/>
    </xf>
    <xf numFmtId="0" fontId="7" fillId="4" borderId="0" xfId="0" applyFont="1" applyFill="1" applyAlignment="1">
      <alignment horizontal="right"/>
    </xf>
    <xf numFmtId="0" fontId="2" fillId="3" borderId="8" xfId="0" applyFont="1" applyFill="1" applyBorder="1" applyAlignment="1">
      <alignment horizontal="right"/>
    </xf>
    <xf numFmtId="165" fontId="8" fillId="4" borderId="0" xfId="0" applyNumberFormat="1" applyFont="1" applyFill="1" applyAlignment="1">
      <alignment horizontal="right"/>
    </xf>
    <xf numFmtId="165" fontId="0" fillId="3" borderId="0" xfId="0" applyNumberFormat="1" applyFill="1" applyAlignment="1">
      <alignment horizontal="right"/>
    </xf>
    <xf numFmtId="165" fontId="0" fillId="3" borderId="9" xfId="0" applyNumberFormat="1" applyFill="1" applyBorder="1" applyAlignment="1">
      <alignment horizontal="right"/>
    </xf>
    <xf numFmtId="168" fontId="8" fillId="4" borderId="0" xfId="0" applyNumberFormat="1" applyFont="1" applyFill="1" applyAlignment="1">
      <alignment horizontal="right"/>
    </xf>
    <xf numFmtId="165" fontId="2" fillId="3" borderId="0" xfId="0" applyNumberFormat="1" applyFont="1" applyFill="1" applyAlignment="1">
      <alignment horizontal="center"/>
    </xf>
    <xf numFmtId="0" fontId="1" fillId="3" borderId="8" xfId="0" applyFont="1" applyFill="1" applyBorder="1" applyAlignment="1">
      <alignment horizontal="right"/>
    </xf>
    <xf numFmtId="165" fontId="6" fillId="4" borderId="0" xfId="0" applyNumberFormat="1" applyFont="1" applyFill="1" applyAlignment="1">
      <alignment horizontal="right"/>
    </xf>
    <xf numFmtId="0" fontId="8" fillId="4" borderId="0" xfId="0" applyFont="1" applyFill="1" applyAlignment="1">
      <alignment horizontal="right"/>
    </xf>
    <xf numFmtId="0" fontId="2" fillId="3" borderId="5" xfId="0" applyFont="1" applyFill="1" applyBorder="1" applyAlignment="1">
      <alignment horizontal="right"/>
    </xf>
    <xf numFmtId="165" fontId="0" fillId="0" borderId="0" xfId="0" applyNumberFormat="1" applyAlignment="1">
      <alignment horizontal="center"/>
    </xf>
    <xf numFmtId="168" fontId="0" fillId="0" borderId="0" xfId="0" applyNumberFormat="1" applyAlignment="1">
      <alignment horizontal="center"/>
    </xf>
    <xf numFmtId="0" fontId="2" fillId="0" borderId="3" xfId="0" applyFont="1" applyBorder="1" applyAlignment="1">
      <alignment horizontal="right"/>
    </xf>
    <xf numFmtId="0" fontId="0" fillId="0" borderId="10" xfId="0" applyBorder="1" applyAlignment="1">
      <alignment horizontal="center"/>
    </xf>
    <xf numFmtId="0" fontId="0" fillId="0" borderId="4" xfId="0" applyBorder="1" applyAlignment="1">
      <alignment horizontal="center"/>
    </xf>
    <xf numFmtId="168" fontId="0" fillId="0" borderId="8" xfId="0" applyNumberFormat="1" applyBorder="1" applyAlignment="1">
      <alignment horizontal="right"/>
    </xf>
    <xf numFmtId="0" fontId="0" fillId="0" borderId="9" xfId="0" applyBorder="1" applyAlignment="1">
      <alignment horizontal="center"/>
    </xf>
    <xf numFmtId="165" fontId="0" fillId="0" borderId="8" xfId="0" applyNumberFormat="1" applyBorder="1" applyAlignment="1">
      <alignment horizontal="right"/>
    </xf>
    <xf numFmtId="165" fontId="0" fillId="0" borderId="0" xfId="0" applyNumberFormat="1"/>
    <xf numFmtId="165" fontId="0" fillId="0" borderId="9" xfId="0" applyNumberFormat="1" applyBorder="1" applyAlignment="1">
      <alignment horizontal="center"/>
    </xf>
    <xf numFmtId="0" fontId="2" fillId="0" borderId="9" xfId="0" applyFont="1" applyBorder="1" applyAlignment="1">
      <alignment horizontal="center"/>
    </xf>
    <xf numFmtId="168" fontId="0" fillId="0" borderId="0" xfId="0" applyNumberFormat="1"/>
    <xf numFmtId="168" fontId="0" fillId="0" borderId="9" xfId="0" applyNumberFormat="1" applyBorder="1" applyAlignment="1">
      <alignment horizontal="center"/>
    </xf>
    <xf numFmtId="168" fontId="2" fillId="0" borderId="9" xfId="0" applyNumberFormat="1" applyFont="1" applyBorder="1" applyAlignment="1">
      <alignment horizontal="center"/>
    </xf>
    <xf numFmtId="0" fontId="2" fillId="0" borderId="8" xfId="0" applyFont="1" applyBorder="1" applyAlignment="1">
      <alignment horizontal="right"/>
    </xf>
    <xf numFmtId="165" fontId="2" fillId="0" borderId="9" xfId="0" applyNumberFormat="1" applyFont="1" applyBorder="1" applyAlignment="1">
      <alignment horizontal="center"/>
    </xf>
    <xf numFmtId="0" fontId="1" fillId="0" borderId="8" xfId="0" applyFont="1" applyBorder="1" applyAlignment="1">
      <alignment horizontal="right"/>
    </xf>
    <xf numFmtId="165" fontId="2" fillId="0" borderId="8" xfId="0" applyNumberFormat="1" applyFont="1" applyBorder="1" applyAlignment="1">
      <alignment horizontal="right"/>
    </xf>
    <xf numFmtId="0" fontId="0" fillId="0" borderId="8" xfId="0" applyBorder="1" applyAlignment="1">
      <alignment horizontal="right"/>
    </xf>
    <xf numFmtId="0" fontId="2" fillId="0" borderId="5" xfId="0" applyFont="1" applyBorder="1" applyAlignment="1">
      <alignment horizontal="right"/>
    </xf>
    <xf numFmtId="0" fontId="2" fillId="0" borderId="6" xfId="0" applyFont="1" applyBorder="1" applyAlignment="1">
      <alignment horizontal="center"/>
    </xf>
    <xf numFmtId="0" fontId="1" fillId="3" borderId="1" xfId="0" applyFont="1" applyFill="1" applyBorder="1" applyAlignment="1">
      <alignment horizontal="center"/>
    </xf>
    <xf numFmtId="1" fontId="2" fillId="3" borderId="7" xfId="0" applyNumberFormat="1" applyFont="1" applyFill="1" applyBorder="1" applyAlignment="1">
      <alignment horizontal="center"/>
    </xf>
    <xf numFmtId="1" fontId="2" fillId="3" borderId="0" xfId="0" applyNumberFormat="1" applyFont="1" applyFill="1" applyAlignment="1">
      <alignment horizontal="center"/>
    </xf>
    <xf numFmtId="0" fontId="0" fillId="0" borderId="7" xfId="0" applyBorder="1" applyAlignment="1">
      <alignment horizontal="center" vertical="center"/>
    </xf>
    <xf numFmtId="0" fontId="0" fillId="0" borderId="7" xfId="0" applyBorder="1" applyAlignment="1">
      <alignment horizontal="center"/>
    </xf>
    <xf numFmtId="0" fontId="0" fillId="0" borderId="2" xfId="0" applyBorder="1" applyAlignment="1">
      <alignment horizontal="center"/>
    </xf>
    <xf numFmtId="0" fontId="9" fillId="4" borderId="0" xfId="0" applyFont="1" applyFill="1" applyAlignment="1">
      <alignment horizontal="right"/>
    </xf>
    <xf numFmtId="168" fontId="9" fillId="4" borderId="0" xfId="0" applyNumberFormat="1" applyFont="1" applyFill="1" applyAlignment="1">
      <alignment horizontal="right"/>
    </xf>
    <xf numFmtId="165" fontId="9" fillId="4" borderId="0" xfId="0" applyNumberFormat="1" applyFont="1" applyFill="1" applyAlignment="1">
      <alignment horizontal="right"/>
    </xf>
    <xf numFmtId="166" fontId="4" fillId="4" borderId="0" xfId="0" applyNumberFormat="1" applyFont="1" applyFill="1" applyAlignment="1">
      <alignment horizontal="center"/>
    </xf>
    <xf numFmtId="0" fontId="9" fillId="4" borderId="0" xfId="0" quotePrefix="1" applyFont="1" applyFill="1" applyAlignment="1">
      <alignment horizontal="right"/>
    </xf>
    <xf numFmtId="1" fontId="1" fillId="4" borderId="0" xfId="0" applyNumberFormat="1" applyFont="1" applyFill="1" applyAlignment="1">
      <alignment horizontal="center"/>
    </xf>
    <xf numFmtId="168" fontId="9" fillId="4" borderId="0" xfId="0" applyNumberFormat="1" applyFont="1" applyFill="1" applyAlignment="1">
      <alignment horizontal="right" vertical="center"/>
    </xf>
    <xf numFmtId="164" fontId="0" fillId="4" borderId="0" xfId="0" applyNumberFormat="1" applyFill="1" applyAlignment="1">
      <alignment horizontal="center"/>
    </xf>
    <xf numFmtId="1" fontId="0" fillId="4" borderId="0" xfId="0" applyNumberFormat="1" applyFill="1" applyAlignment="1">
      <alignment horizontal="center"/>
    </xf>
    <xf numFmtId="164" fontId="2" fillId="4" borderId="0" xfId="0" applyNumberFormat="1" applyFont="1" applyFill="1" applyAlignment="1">
      <alignment horizontal="center"/>
    </xf>
    <xf numFmtId="165" fontId="0" fillId="3" borderId="0" xfId="0" applyNumberFormat="1" applyFill="1" applyAlignment="1">
      <alignment horizontal="center"/>
    </xf>
    <xf numFmtId="165" fontId="0" fillId="3" borderId="0" xfId="0" applyNumberFormat="1" applyFill="1"/>
    <xf numFmtId="165" fontId="0" fillId="3" borderId="9" xfId="0" applyNumberFormat="1" applyFill="1" applyBorder="1" applyAlignment="1">
      <alignment horizontal="center"/>
    </xf>
    <xf numFmtId="168" fontId="0" fillId="3" borderId="0" xfId="0" applyNumberFormat="1" applyFill="1" applyAlignment="1">
      <alignment horizontal="center"/>
    </xf>
    <xf numFmtId="168" fontId="0" fillId="3" borderId="0" xfId="0" applyNumberFormat="1" applyFill="1"/>
    <xf numFmtId="168" fontId="0" fillId="3" borderId="9" xfId="0" applyNumberFormat="1" applyFill="1" applyBorder="1" applyAlignment="1">
      <alignment horizontal="center"/>
    </xf>
    <xf numFmtId="168" fontId="2" fillId="3" borderId="0" xfId="0" applyNumberFormat="1" applyFont="1" applyFill="1" applyAlignment="1">
      <alignment horizontal="center"/>
    </xf>
    <xf numFmtId="168" fontId="2" fillId="3" borderId="9" xfId="0" applyNumberFormat="1" applyFont="1" applyFill="1" applyBorder="1" applyAlignment="1">
      <alignment horizontal="center"/>
    </xf>
    <xf numFmtId="0" fontId="2" fillId="3" borderId="0" xfId="0" applyFont="1" applyFill="1" applyAlignment="1">
      <alignment horizontal="left"/>
    </xf>
    <xf numFmtId="165" fontId="2" fillId="3" borderId="9" xfId="0" applyNumberFormat="1" applyFont="1" applyFill="1" applyBorder="1" applyAlignment="1">
      <alignment horizontal="center"/>
    </xf>
    <xf numFmtId="165" fontId="2" fillId="3" borderId="8" xfId="0" applyNumberFormat="1" applyFont="1" applyFill="1" applyBorder="1" applyAlignment="1">
      <alignment horizontal="right"/>
    </xf>
    <xf numFmtId="168" fontId="2" fillId="4" borderId="0" xfId="0" applyNumberFormat="1" applyFont="1" applyFill="1" applyAlignment="1">
      <alignment horizontal="right"/>
    </xf>
    <xf numFmtId="0" fontId="0" fillId="4" borderId="26" xfId="0" applyFill="1" applyBorder="1" applyAlignment="1">
      <alignment horizontal="center"/>
    </xf>
    <xf numFmtId="0" fontId="2" fillId="4" borderId="26" xfId="0" applyFont="1" applyFill="1" applyBorder="1" applyAlignment="1">
      <alignment horizontal="center"/>
    </xf>
    <xf numFmtId="0" fontId="2" fillId="3" borderId="0" xfId="0" applyFont="1" applyFill="1" applyAlignment="1">
      <alignment horizontal="right"/>
    </xf>
    <xf numFmtId="168" fontId="0" fillId="3" borderId="0" xfId="0" applyNumberFormat="1" applyFill="1" applyAlignment="1">
      <alignment horizontal="right"/>
    </xf>
    <xf numFmtId="165" fontId="2" fillId="3" borderId="0" xfId="0" applyNumberFormat="1" applyFont="1" applyFill="1" applyAlignment="1">
      <alignment horizontal="right"/>
    </xf>
    <xf numFmtId="168" fontId="2" fillId="3" borderId="0" xfId="0" applyNumberFormat="1" applyFont="1" applyFill="1" applyAlignment="1">
      <alignment horizontal="right"/>
    </xf>
    <xf numFmtId="0" fontId="1" fillId="3" borderId="0" xfId="0" applyFont="1" applyFill="1" applyAlignment="1">
      <alignment horizontal="right"/>
    </xf>
    <xf numFmtId="0" fontId="0" fillId="3" borderId="0" xfId="0" applyFill="1" applyAlignment="1">
      <alignment horizontal="right"/>
    </xf>
    <xf numFmtId="0" fontId="2" fillId="3" borderId="10" xfId="0" applyFont="1" applyFill="1" applyBorder="1" applyAlignment="1">
      <alignment horizontal="right"/>
    </xf>
    <xf numFmtId="168" fontId="2" fillId="3" borderId="8" xfId="0" applyNumberFormat="1" applyFont="1" applyFill="1" applyBorder="1" applyAlignment="1">
      <alignment horizontal="right"/>
    </xf>
    <xf numFmtId="0" fontId="0" fillId="3" borderId="8" xfId="0" applyFill="1" applyBorder="1" applyAlignment="1">
      <alignment horizontal="right"/>
    </xf>
    <xf numFmtId="0" fontId="2" fillId="3" borderId="11" xfId="0" applyFont="1" applyFill="1" applyBorder="1" applyAlignment="1">
      <alignment horizontal="right"/>
    </xf>
    <xf numFmtId="166" fontId="2" fillId="4" borderId="0" xfId="0" applyNumberFormat="1" applyFont="1" applyFill="1" applyAlignment="1">
      <alignment horizontal="center"/>
    </xf>
    <xf numFmtId="1" fontId="2" fillId="0" borderId="0" xfId="0" applyNumberFormat="1" applyFont="1" applyAlignment="1">
      <alignment horizontal="center"/>
    </xf>
    <xf numFmtId="170" fontId="2" fillId="4" borderId="0" xfId="0" applyNumberFormat="1" applyFont="1" applyFill="1" applyAlignment="1">
      <alignment horizontal="left"/>
    </xf>
    <xf numFmtId="1" fontId="1" fillId="4" borderId="26" xfId="0" applyNumberFormat="1" applyFont="1" applyFill="1" applyBorder="1" applyAlignment="1">
      <alignment horizontal="center"/>
    </xf>
    <xf numFmtId="164" fontId="0" fillId="4" borderId="26" xfId="0" applyNumberFormat="1" applyFill="1" applyBorder="1" applyAlignment="1">
      <alignment horizontal="center"/>
    </xf>
    <xf numFmtId="1" fontId="0" fillId="4" borderId="26" xfId="0" applyNumberFormat="1" applyFill="1" applyBorder="1" applyAlignment="1">
      <alignment horizontal="center"/>
    </xf>
    <xf numFmtId="167" fontId="0" fillId="4" borderId="26" xfId="0" applyNumberFormat="1" applyFill="1" applyBorder="1" applyAlignment="1">
      <alignment horizontal="center"/>
    </xf>
    <xf numFmtId="0" fontId="2" fillId="2" borderId="0" xfId="0" applyFont="1" applyFill="1" applyProtection="1">
      <protection locked="0"/>
    </xf>
    <xf numFmtId="0" fontId="0" fillId="2" borderId="26" xfId="0" applyFill="1" applyBorder="1" applyAlignment="1" applyProtection="1">
      <alignment horizontal="center"/>
      <protection locked="0"/>
    </xf>
    <xf numFmtId="167" fontId="4" fillId="2" borderId="26" xfId="0" applyNumberFormat="1" applyFont="1" applyFill="1" applyBorder="1" applyAlignment="1" applyProtection="1">
      <alignment horizontal="center"/>
      <protection locked="0"/>
    </xf>
    <xf numFmtId="166" fontId="4" fillId="2" borderId="26" xfId="0" applyNumberFormat="1" applyFont="1" applyFill="1" applyBorder="1" applyAlignment="1" applyProtection="1">
      <alignment horizontal="center"/>
      <protection locked="0"/>
    </xf>
    <xf numFmtId="169" fontId="2" fillId="2" borderId="2" xfId="0" applyNumberFormat="1" applyFont="1" applyFill="1" applyBorder="1" applyAlignment="1" applyProtection="1">
      <alignment horizontal="center"/>
      <protection locked="0"/>
    </xf>
    <xf numFmtId="169" fontId="2" fillId="2" borderId="7" xfId="0" applyNumberFormat="1" applyFont="1" applyFill="1" applyBorder="1" applyAlignment="1" applyProtection="1">
      <alignment horizontal="center"/>
      <protection locked="0"/>
    </xf>
    <xf numFmtId="167" fontId="4" fillId="2" borderId="7" xfId="0" applyNumberFormat="1" applyFont="1" applyFill="1" applyBorder="1" applyAlignment="1" applyProtection="1">
      <alignment horizontal="center"/>
      <protection locked="0"/>
    </xf>
    <xf numFmtId="167" fontId="4" fillId="2" borderId="2" xfId="0" applyNumberFormat="1" applyFont="1" applyFill="1" applyBorder="1" applyAlignment="1" applyProtection="1">
      <alignment horizontal="center"/>
      <protection locked="0"/>
    </xf>
    <xf numFmtId="166" fontId="4" fillId="2" borderId="2" xfId="0" applyNumberFormat="1" applyFont="1" applyFill="1" applyBorder="1" applyAlignment="1" applyProtection="1">
      <alignment horizontal="center"/>
      <protection locked="0"/>
    </xf>
    <xf numFmtId="166" fontId="4" fillId="4" borderId="0" xfId="0" applyNumberFormat="1" applyFont="1" applyFill="1" applyAlignment="1" applyProtection="1">
      <alignment horizontal="center"/>
      <protection locked="0"/>
    </xf>
    <xf numFmtId="171" fontId="2" fillId="2" borderId="2" xfId="0" applyNumberFormat="1" applyFont="1" applyFill="1" applyBorder="1" applyAlignment="1" applyProtection="1">
      <alignment horizontal="center"/>
      <protection locked="0"/>
    </xf>
    <xf numFmtId="171" fontId="0" fillId="4" borderId="0" xfId="0" applyNumberFormat="1" applyFill="1" applyAlignment="1">
      <alignment horizontal="center"/>
    </xf>
    <xf numFmtId="0" fontId="0" fillId="4" borderId="0" xfId="0" applyFill="1" applyAlignment="1" applyProtection="1">
      <alignment horizontal="center"/>
      <protection locked="0"/>
    </xf>
    <xf numFmtId="0" fontId="1" fillId="2" borderId="26" xfId="0" applyFont="1" applyFill="1" applyBorder="1" applyAlignment="1" applyProtection="1">
      <alignment horizontal="center"/>
      <protection locked="0"/>
    </xf>
    <xf numFmtId="0" fontId="0" fillId="2" borderId="26" xfId="0" applyFill="1" applyBorder="1" applyAlignment="1">
      <alignment horizontal="center"/>
    </xf>
    <xf numFmtId="0" fontId="11" fillId="4" borderId="0" xfId="0" applyFont="1" applyFill="1" applyAlignment="1">
      <alignment horizontal="left" vertical="top" wrapText="1"/>
    </xf>
    <xf numFmtId="0" fontId="10" fillId="4" borderId="0" xfId="0" applyFont="1" applyFill="1" applyAlignment="1">
      <alignment horizontal="left" vertical="top" wrapText="1"/>
    </xf>
    <xf numFmtId="0" fontId="2" fillId="4" borderId="0" xfId="0" applyFont="1" applyFill="1" applyAlignment="1">
      <alignment wrapText="1"/>
    </xf>
    <xf numFmtId="0" fontId="0" fillId="4" borderId="0" xfId="0" applyFill="1" applyAlignment="1">
      <alignment wrapText="1"/>
    </xf>
    <xf numFmtId="0" fontId="11" fillId="4" borderId="0" xfId="0" applyFont="1" applyFill="1" applyAlignment="1">
      <alignment horizontal="left" wrapText="1"/>
    </xf>
    <xf numFmtId="0" fontId="11" fillId="4" borderId="0" xfId="0" applyFont="1" applyFill="1" applyAlignment="1">
      <alignment wrapText="1"/>
    </xf>
  </cellXfs>
  <cellStyles count="1">
    <cellStyle name="Normal" xfId="0" builtinId="0"/>
  </cellStyles>
  <dxfs count="0"/>
  <tableStyles count="0" defaultTableStyle="TableStyleMedium2" defaultPivotStyle="PivotStyleLight16"/>
  <colors>
    <mruColors>
      <color rgb="FF3333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331182</xdr:colOff>
      <xdr:row>1</xdr:row>
      <xdr:rowOff>124005</xdr:rowOff>
    </xdr:from>
    <xdr:to>
      <xdr:col>13</xdr:col>
      <xdr:colOff>38505</xdr:colOff>
      <xdr:row>6</xdr:row>
      <xdr:rowOff>32752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220" y="296533"/>
          <a:ext cx="2280871" cy="7713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495300</xdr:colOff>
      <xdr:row>0</xdr:row>
      <xdr:rowOff>116840</xdr:rowOff>
    </xdr:from>
    <xdr:to>
      <xdr:col>11</xdr:col>
      <xdr:colOff>73660</xdr:colOff>
      <xdr:row>5</xdr:row>
      <xdr:rowOff>21590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84600" y="116840"/>
          <a:ext cx="2270760" cy="730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342900</xdr:colOff>
      <xdr:row>0</xdr:row>
      <xdr:rowOff>104140</xdr:rowOff>
    </xdr:from>
    <xdr:to>
      <xdr:col>12</xdr:col>
      <xdr:colOff>38100</xdr:colOff>
      <xdr:row>5</xdr:row>
      <xdr:rowOff>8890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9900" y="104140"/>
          <a:ext cx="2286000" cy="730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21238</xdr:colOff>
      <xdr:row>0</xdr:row>
      <xdr:rowOff>40046</xdr:rowOff>
    </xdr:from>
    <xdr:to>
      <xdr:col>9</xdr:col>
      <xdr:colOff>272698</xdr:colOff>
      <xdr:row>4</xdr:row>
      <xdr:rowOff>112436</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4323" y="40046"/>
          <a:ext cx="2269949" cy="753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175260</xdr:colOff>
      <xdr:row>2</xdr:row>
      <xdr:rowOff>7620</xdr:rowOff>
    </xdr:from>
    <xdr:to>
      <xdr:col>12</xdr:col>
      <xdr:colOff>542813</xdr:colOff>
      <xdr:row>6</xdr:row>
      <xdr:rowOff>80010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08220" y="342900"/>
          <a:ext cx="2286000" cy="742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228599</xdr:colOff>
      <xdr:row>0</xdr:row>
      <xdr:rowOff>54430</xdr:rowOff>
    </xdr:from>
    <xdr:to>
      <xdr:col>11</xdr:col>
      <xdr:colOff>261258</xdr:colOff>
      <xdr:row>6</xdr:row>
      <xdr:rowOff>90427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01885" y="54430"/>
          <a:ext cx="3080659" cy="10157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187960</xdr:colOff>
      <xdr:row>0</xdr:row>
      <xdr:rowOff>160020</xdr:rowOff>
    </xdr:from>
    <xdr:to>
      <xdr:col>11</xdr:col>
      <xdr:colOff>40640</xdr:colOff>
      <xdr:row>5</xdr:row>
      <xdr:rowOff>67310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70760" y="160020"/>
          <a:ext cx="2316480" cy="7327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150411</xdr:colOff>
      <xdr:row>0</xdr:row>
      <xdr:rowOff>98728</xdr:rowOff>
    </xdr:from>
    <xdr:to>
      <xdr:col>10</xdr:col>
      <xdr:colOff>90777</xdr:colOff>
      <xdr:row>5</xdr:row>
      <xdr:rowOff>5466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03281" y="98728"/>
          <a:ext cx="2276061" cy="7349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5"/>
  <sheetViews>
    <sheetView view="pageBreakPreview" zoomScale="65" zoomScaleNormal="88" zoomScaleSheetLayoutView="65" workbookViewId="0">
      <selection activeCell="B7" sqref="B7"/>
    </sheetView>
  </sheetViews>
  <sheetFormatPr defaultRowHeight="12.75" x14ac:dyDescent="0.2"/>
  <cols>
    <col min="1" max="1" width="13.28515625" customWidth="1"/>
    <col min="2" max="2" width="27" style="5" customWidth="1"/>
    <col min="4" max="4" width="6.140625" customWidth="1"/>
    <col min="5" max="5" width="8.85546875" customWidth="1"/>
    <col min="6" max="6" width="0.85546875" customWidth="1"/>
    <col min="7" max="7" width="0.5703125" customWidth="1"/>
    <col min="8" max="8" width="0.85546875" customWidth="1"/>
    <col min="10" max="10" width="1" customWidth="1"/>
    <col min="11" max="11" width="0.5703125" customWidth="1"/>
    <col min="12" max="12" width="1" style="105" customWidth="1"/>
    <col min="14" max="14" width="0.85546875" customWidth="1"/>
    <col min="15" max="15" width="0.5703125" customWidth="1"/>
    <col min="16" max="16" width="1" style="105" customWidth="1"/>
    <col min="18" max="18" width="1.140625" customWidth="1"/>
    <col min="19" max="19" width="0.5703125" customWidth="1"/>
    <col min="20" max="20" width="1" style="105" customWidth="1"/>
    <col min="22" max="22" width="1" customWidth="1"/>
    <col min="23" max="23" width="0.5703125" customWidth="1"/>
    <col min="24" max="24" width="1.140625" style="105" customWidth="1"/>
    <col min="30" max="30" width="10" customWidth="1"/>
    <col min="31" max="31" width="6.85546875" customWidth="1"/>
    <col min="32" max="32" width="2.5703125" bestFit="1" customWidth="1"/>
    <col min="33" max="33" width="5.28515625" customWidth="1"/>
    <col min="34" max="34" width="13.5703125" bestFit="1" customWidth="1"/>
    <col min="35" max="37" width="13.85546875" bestFit="1" customWidth="1"/>
  </cols>
  <sheetData>
    <row r="1" spans="1:30" x14ac:dyDescent="0.2">
      <c r="A1" s="22"/>
      <c r="B1" s="23"/>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row>
    <row r="2" spans="1:30" x14ac:dyDescent="0.2">
      <c r="A2" s="22"/>
      <c r="B2" s="23"/>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row>
    <row r="3" spans="1:30" x14ac:dyDescent="0.2">
      <c r="A3" s="22"/>
      <c r="B3" s="23"/>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x14ac:dyDescent="0.2">
      <c r="A4" s="22"/>
      <c r="B4" s="23"/>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1:30" x14ac:dyDescent="0.2">
      <c r="A5" s="22" t="s">
        <v>32</v>
      </c>
      <c r="B5" s="19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1:30" x14ac:dyDescent="0.2">
      <c r="A6" s="22" t="s">
        <v>33</v>
      </c>
      <c r="B6" s="40">
        <f ca="1">TODAY()</f>
        <v>45467</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30" x14ac:dyDescent="0.2">
      <c r="A7" s="22" t="s">
        <v>34</v>
      </c>
      <c r="B7" s="191"/>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0" x14ac:dyDescent="0.2">
      <c r="A8" s="22"/>
      <c r="B8" s="23"/>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30" x14ac:dyDescent="0.2">
      <c r="A9" s="22"/>
      <c r="B9" s="23" t="s">
        <v>4</v>
      </c>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row>
    <row r="10" spans="1:30" x14ac:dyDescent="0.2">
      <c r="A10" s="22"/>
      <c r="B10" s="23" t="s">
        <v>15</v>
      </c>
      <c r="C10" s="22"/>
      <c r="D10" s="22"/>
      <c r="E10" s="22"/>
      <c r="F10" s="22"/>
      <c r="G10" s="22"/>
      <c r="H10" s="22"/>
      <c r="I10" s="22"/>
      <c r="J10" s="22"/>
      <c r="K10" s="22"/>
      <c r="L10" s="22"/>
      <c r="M10" s="22"/>
      <c r="N10" s="22"/>
      <c r="O10" s="24" t="s">
        <v>5</v>
      </c>
      <c r="P10" s="24"/>
      <c r="Q10" s="22"/>
      <c r="R10" s="22"/>
      <c r="S10" s="22"/>
      <c r="T10" s="22"/>
      <c r="U10" s="22"/>
      <c r="V10" s="22"/>
      <c r="W10" s="22"/>
      <c r="X10" s="22"/>
      <c r="Y10" s="22"/>
      <c r="Z10" s="22"/>
      <c r="AA10" s="22"/>
      <c r="AB10" s="22"/>
      <c r="AC10" s="22"/>
      <c r="AD10" s="22"/>
    </row>
    <row r="11" spans="1:30" x14ac:dyDescent="0.2">
      <c r="A11" s="22"/>
      <c r="B11" s="23" t="s">
        <v>16</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row>
    <row r="12" spans="1:30" ht="13.5" thickBot="1" x14ac:dyDescent="0.25">
      <c r="A12" s="22"/>
      <c r="B12" s="23" t="s">
        <v>17</v>
      </c>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1:30" x14ac:dyDescent="0.2">
      <c r="A13" s="22"/>
      <c r="B13" s="23"/>
      <c r="C13" s="22"/>
      <c r="D13" s="25" t="s">
        <v>23</v>
      </c>
      <c r="E13" s="91"/>
      <c r="F13" s="92"/>
      <c r="G13" s="93"/>
      <c r="H13" s="94"/>
      <c r="I13" s="95"/>
      <c r="J13" s="95"/>
      <c r="K13" s="96"/>
      <c r="L13" s="95"/>
      <c r="M13" s="95"/>
      <c r="N13" s="95"/>
      <c r="O13" s="96"/>
      <c r="P13" s="95"/>
      <c r="Q13" s="95"/>
      <c r="R13" s="95"/>
      <c r="S13" s="96"/>
      <c r="T13" s="95"/>
      <c r="U13" s="95"/>
      <c r="V13" s="95"/>
      <c r="W13" s="96"/>
      <c r="X13" s="95"/>
      <c r="Y13" s="97"/>
      <c r="Z13" s="26"/>
      <c r="AA13" s="26"/>
      <c r="AB13" s="26"/>
      <c r="AC13" s="26"/>
      <c r="AD13" s="22"/>
    </row>
    <row r="14" spans="1:30" ht="13.5" thickBot="1" x14ac:dyDescent="0.25">
      <c r="A14" s="22"/>
      <c r="B14" s="23"/>
      <c r="C14" s="26"/>
      <c r="D14" s="27" t="str">
        <f>IF(B23=3,(B16-SUM(D16:D18,D24:D26,D32:D36))/B23,"│  ")</f>
        <v xml:space="preserve">│  </v>
      </c>
      <c r="E14" s="98"/>
      <c r="F14" s="19"/>
      <c r="G14" s="87"/>
      <c r="H14" s="12"/>
      <c r="I14" s="15"/>
      <c r="J14" s="15"/>
      <c r="K14" s="44"/>
      <c r="L14" s="15"/>
      <c r="M14" s="15"/>
      <c r="N14" s="15"/>
      <c r="O14" s="44"/>
      <c r="P14" s="15"/>
      <c r="Q14" s="15"/>
      <c r="R14" s="15"/>
      <c r="S14" s="44"/>
      <c r="T14" s="15"/>
      <c r="U14" s="15"/>
      <c r="V14" s="15"/>
      <c r="W14" s="44"/>
      <c r="X14" s="15"/>
      <c r="Y14" s="99"/>
      <c r="Z14" s="26"/>
      <c r="AA14" s="26"/>
      <c r="AB14" s="26"/>
      <c r="AC14" s="26"/>
      <c r="AD14" s="22"/>
    </row>
    <row r="15" spans="1:30" x14ac:dyDescent="0.2">
      <c r="A15" s="22"/>
      <c r="B15" s="28" t="s">
        <v>13</v>
      </c>
      <c r="C15" s="26"/>
      <c r="D15" s="29" t="str">
        <f>IF($B$29=3,"┼─","│  ")</f>
        <v xml:space="preserve">│  </v>
      </c>
      <c r="E15" s="98" t="str">
        <f>E19</f>
        <v/>
      </c>
      <c r="F15" s="19"/>
      <c r="G15" s="88" t="str">
        <f>IF($B$29=3,"XX","")</f>
        <v/>
      </c>
      <c r="H15" s="13"/>
      <c r="I15" s="15" t="str">
        <f>E19</f>
        <v/>
      </c>
      <c r="J15" s="15"/>
      <c r="K15" s="45"/>
      <c r="L15" s="16"/>
      <c r="M15" s="15" t="str">
        <f>E19</f>
        <v/>
      </c>
      <c r="N15" s="15"/>
      <c r="O15" s="45" t="str">
        <f>IF($B$29=3,"XX","")</f>
        <v/>
      </c>
      <c r="P15" s="16"/>
      <c r="Q15" s="15" t="str">
        <f>E19</f>
        <v/>
      </c>
      <c r="R15" s="15"/>
      <c r="S15" s="45"/>
      <c r="T15" s="16"/>
      <c r="U15" s="15" t="str">
        <f>E19</f>
        <v/>
      </c>
      <c r="V15" s="15"/>
      <c r="W15" s="45" t="str">
        <f>IF($B$29=3,"XX","")</f>
        <v/>
      </c>
      <c r="X15" s="16"/>
      <c r="Y15" s="99" t="str">
        <f>E19</f>
        <v/>
      </c>
      <c r="Z15" s="26"/>
      <c r="AA15" s="26"/>
      <c r="AB15" s="26"/>
      <c r="AC15" s="26"/>
      <c r="AD15" s="22"/>
    </row>
    <row r="16" spans="1:30" ht="13.5" thickBot="1" x14ac:dyDescent="0.25">
      <c r="A16" s="22"/>
      <c r="B16" s="196">
        <v>17</v>
      </c>
      <c r="C16" s="26"/>
      <c r="D16" s="27" t="str">
        <f>IF($B$29=3,2,"│  ")</f>
        <v xml:space="preserve">│  </v>
      </c>
      <c r="E16" s="100"/>
      <c r="F16" s="20"/>
      <c r="G16" s="88"/>
      <c r="H16" s="13"/>
      <c r="I16" s="16"/>
      <c r="J16" s="16"/>
      <c r="K16" s="45"/>
      <c r="L16" s="16"/>
      <c r="M16" s="16"/>
      <c r="N16" s="16"/>
      <c r="O16" s="45"/>
      <c r="P16" s="16"/>
      <c r="Q16" s="16"/>
      <c r="R16" s="16"/>
      <c r="S16" s="45"/>
      <c r="T16" s="16"/>
      <c r="U16" s="16"/>
      <c r="V16" s="16"/>
      <c r="W16" s="45"/>
      <c r="X16" s="16"/>
      <c r="Y16" s="101"/>
      <c r="Z16" s="30"/>
      <c r="AA16" s="30"/>
      <c r="AB16" s="30"/>
      <c r="AC16" s="30"/>
      <c r="AD16" s="22"/>
    </row>
    <row r="17" spans="1:37" x14ac:dyDescent="0.2">
      <c r="A17" s="30"/>
      <c r="B17" s="28" t="s">
        <v>19</v>
      </c>
      <c r="C17" s="26"/>
      <c r="D17" s="27" t="str">
        <f>IF($B$29=3,"┼─","│  ")</f>
        <v xml:space="preserve">│  </v>
      </c>
      <c r="E17" s="98" t="str">
        <f>E19</f>
        <v/>
      </c>
      <c r="F17" s="19"/>
      <c r="G17" s="88"/>
      <c r="H17" s="13"/>
      <c r="I17" s="15" t="str">
        <f>E19</f>
        <v/>
      </c>
      <c r="J17" s="15"/>
      <c r="K17" s="45" t="str">
        <f>IF($B$29=3,"XX","")</f>
        <v/>
      </c>
      <c r="L17" s="16"/>
      <c r="M17" s="15" t="str">
        <f>E19</f>
        <v/>
      </c>
      <c r="N17" s="15"/>
      <c r="O17" s="45"/>
      <c r="P17" s="16"/>
      <c r="Q17" s="15" t="str">
        <f>E19</f>
        <v/>
      </c>
      <c r="R17" s="15"/>
      <c r="S17" s="45" t="str">
        <f>IF($B$29=3,"XX","")</f>
        <v/>
      </c>
      <c r="T17" s="16"/>
      <c r="U17" s="15" t="str">
        <f>E19</f>
        <v/>
      </c>
      <c r="V17" s="15"/>
      <c r="W17" s="45"/>
      <c r="X17" s="16"/>
      <c r="Y17" s="99" t="str">
        <f>E19</f>
        <v/>
      </c>
      <c r="Z17" s="26"/>
      <c r="AA17" s="26"/>
      <c r="AB17" s="26"/>
      <c r="AC17" s="26"/>
      <c r="AD17" s="22"/>
    </row>
    <row r="18" spans="1:37" ht="13.5" thickBot="1" x14ac:dyDescent="0.25">
      <c r="A18" s="30"/>
      <c r="B18" s="195">
        <v>28.5</v>
      </c>
      <c r="C18" s="26"/>
      <c r="D18" s="27" t="str">
        <f>IF($B$29=3,2,"│  ")</f>
        <v xml:space="preserve">│  </v>
      </c>
      <c r="E18" s="100"/>
      <c r="F18" s="20"/>
      <c r="G18" s="88"/>
      <c r="H18" s="13"/>
      <c r="I18" s="16"/>
      <c r="J18" s="16"/>
      <c r="K18" s="45"/>
      <c r="L18" s="16"/>
      <c r="M18" s="16"/>
      <c r="N18" s="16"/>
      <c r="O18" s="45"/>
      <c r="P18" s="16"/>
      <c r="Q18" s="16"/>
      <c r="R18" s="16"/>
      <c r="S18" s="45"/>
      <c r="T18" s="16"/>
      <c r="U18" s="16"/>
      <c r="V18" s="16"/>
      <c r="W18" s="45"/>
      <c r="X18" s="16"/>
      <c r="Y18" s="101"/>
      <c r="Z18" s="30"/>
      <c r="AA18" s="30"/>
      <c r="AB18" s="30"/>
      <c r="AC18" s="30"/>
      <c r="AD18" s="22"/>
      <c r="AE18" s="5" t="s">
        <v>6</v>
      </c>
      <c r="AF18" s="5"/>
      <c r="AG18" s="5" t="s">
        <v>7</v>
      </c>
      <c r="AH18" s="5" t="s">
        <v>8</v>
      </c>
      <c r="AI18" s="5" t="s">
        <v>27</v>
      </c>
      <c r="AJ18" s="5" t="s">
        <v>28</v>
      </c>
      <c r="AK18" s="5" t="s">
        <v>29</v>
      </c>
    </row>
    <row r="19" spans="1:37" x14ac:dyDescent="0.2">
      <c r="A19" s="30"/>
      <c r="B19" s="31" t="s">
        <v>20</v>
      </c>
      <c r="C19" s="26"/>
      <c r="D19" s="29" t="str">
        <f>IF($B$29=3,"┼─","│  ")</f>
        <v xml:space="preserve">│  </v>
      </c>
      <c r="E19" s="100" t="str">
        <f>IF($D$18=2,"- - - - - - -","")</f>
        <v/>
      </c>
      <c r="F19" s="20"/>
      <c r="G19" s="88" t="str">
        <f>IF($B$29=3,"XX","")</f>
        <v/>
      </c>
      <c r="H19" s="13"/>
      <c r="I19" s="16" t="str">
        <f>E19</f>
        <v/>
      </c>
      <c r="J19" s="16"/>
      <c r="K19" s="45"/>
      <c r="L19" s="16"/>
      <c r="M19" s="16" t="str">
        <f>E19</f>
        <v/>
      </c>
      <c r="N19" s="16"/>
      <c r="O19" s="45" t="str">
        <f>IF($B$29=3,"XX","")</f>
        <v/>
      </c>
      <c r="P19" s="16"/>
      <c r="Q19" s="16" t="str">
        <f>E19</f>
        <v/>
      </c>
      <c r="R19" s="16"/>
      <c r="S19" s="45"/>
      <c r="T19" s="16"/>
      <c r="U19" s="16" t="str">
        <f>E19</f>
        <v/>
      </c>
      <c r="V19" s="16"/>
      <c r="W19" s="45" t="str">
        <f>IF($B$29=3,"XX","")</f>
        <v/>
      </c>
      <c r="X19" s="16"/>
      <c r="Y19" s="101" t="str">
        <f>E19</f>
        <v/>
      </c>
      <c r="Z19" s="30"/>
      <c r="AA19" s="30"/>
      <c r="AB19" s="30"/>
      <c r="AC19" s="30"/>
      <c r="AD19" s="22"/>
      <c r="AE19" s="9">
        <v>1</v>
      </c>
      <c r="AF19" s="2" t="s">
        <v>9</v>
      </c>
      <c r="AG19" s="10">
        <v>10</v>
      </c>
      <c r="AH19" s="11">
        <v>1</v>
      </c>
      <c r="AI19" s="11">
        <v>2</v>
      </c>
      <c r="AJ19" s="11">
        <v>0</v>
      </c>
      <c r="AK19" s="11">
        <v>0</v>
      </c>
    </row>
    <row r="20" spans="1:37" ht="13.5" thickBot="1" x14ac:dyDescent="0.25">
      <c r="A20" s="30"/>
      <c r="B20" s="201">
        <v>16</v>
      </c>
      <c r="C20" s="26"/>
      <c r="D20" s="25" t="s">
        <v>25</v>
      </c>
      <c r="E20" s="100"/>
      <c r="F20" s="20"/>
      <c r="G20" s="88"/>
      <c r="H20" s="13"/>
      <c r="I20" s="16"/>
      <c r="J20" s="16"/>
      <c r="K20" s="45"/>
      <c r="L20" s="16"/>
      <c r="M20" s="16"/>
      <c r="N20" s="16"/>
      <c r="O20" s="45"/>
      <c r="P20" s="16"/>
      <c r="Q20" s="16"/>
      <c r="R20" s="16"/>
      <c r="S20" s="45"/>
      <c r="T20" s="16"/>
      <c r="U20" s="16"/>
      <c r="V20" s="16"/>
      <c r="W20" s="45"/>
      <c r="X20" s="16"/>
      <c r="Y20" s="101"/>
      <c r="Z20" s="30"/>
      <c r="AA20" s="30"/>
      <c r="AB20" s="30"/>
      <c r="AC20" s="30"/>
      <c r="AD20" s="22"/>
      <c r="AE20" s="9">
        <f>AG19+0.5</f>
        <v>10.5</v>
      </c>
      <c r="AF20" s="2" t="s">
        <v>9</v>
      </c>
      <c r="AG20" s="10">
        <v>18</v>
      </c>
      <c r="AH20" s="11">
        <v>1</v>
      </c>
      <c r="AI20" s="11">
        <v>3</v>
      </c>
      <c r="AJ20" s="11">
        <v>0</v>
      </c>
      <c r="AK20" s="11">
        <v>0</v>
      </c>
    </row>
    <row r="21" spans="1:37" ht="13.5" thickBot="1" x14ac:dyDescent="0.25">
      <c r="A21" s="30"/>
      <c r="B21" s="23"/>
      <c r="C21" s="26"/>
      <c r="D21" s="27" t="str">
        <f>IF(B23=1,"│  ",(B16-SUM(D24:D26,D32:D36,D16:D18))/B23)</f>
        <v xml:space="preserve">│  </v>
      </c>
      <c r="E21" s="98"/>
      <c r="F21" s="19"/>
      <c r="G21" s="87"/>
      <c r="H21" s="12"/>
      <c r="I21" s="15"/>
      <c r="J21" s="15"/>
      <c r="K21" s="44"/>
      <c r="L21" s="15"/>
      <c r="M21" s="15"/>
      <c r="N21" s="15"/>
      <c r="O21" s="44"/>
      <c r="P21" s="15"/>
      <c r="Q21" s="15"/>
      <c r="R21" s="15"/>
      <c r="S21" s="44"/>
      <c r="T21" s="15"/>
      <c r="U21" s="15"/>
      <c r="V21" s="15"/>
      <c r="W21" s="44"/>
      <c r="X21" s="15"/>
      <c r="Y21" s="99"/>
      <c r="Z21" s="26"/>
      <c r="AA21" s="26"/>
      <c r="AB21" s="26"/>
      <c r="AC21" s="26"/>
      <c r="AD21" s="22"/>
      <c r="AE21" s="9">
        <f t="shared" ref="AE21:AE24" si="0">AG20+0.5</f>
        <v>18.5</v>
      </c>
      <c r="AF21" s="2" t="s">
        <v>9</v>
      </c>
      <c r="AG21" s="10">
        <v>22</v>
      </c>
      <c r="AH21" s="11">
        <v>2</v>
      </c>
      <c r="AI21" s="11">
        <v>2</v>
      </c>
      <c r="AJ21" s="11">
        <v>2</v>
      </c>
      <c r="AK21" s="11">
        <v>0</v>
      </c>
    </row>
    <row r="22" spans="1:37" x14ac:dyDescent="0.2">
      <c r="A22" s="30"/>
      <c r="B22" s="28" t="s">
        <v>1</v>
      </c>
      <c r="C22" s="26"/>
      <c r="D22" s="25" t="s">
        <v>25</v>
      </c>
      <c r="E22" s="98"/>
      <c r="F22" s="19"/>
      <c r="G22" s="87"/>
      <c r="H22" s="12"/>
      <c r="I22" s="15"/>
      <c r="J22" s="15"/>
      <c r="K22" s="44"/>
      <c r="L22" s="15"/>
      <c r="M22" s="18" t="str">
        <f>IF(B23="Contact Berger", "Contact Berger","")</f>
        <v/>
      </c>
      <c r="N22" s="18"/>
      <c r="O22" s="44"/>
      <c r="P22" s="15"/>
      <c r="Q22" s="15"/>
      <c r="R22" s="15"/>
      <c r="S22" s="44"/>
      <c r="T22" s="15"/>
      <c r="U22" s="15"/>
      <c r="V22" s="15"/>
      <c r="W22" s="44"/>
      <c r="X22" s="15"/>
      <c r="Y22" s="99"/>
      <c r="Z22" s="26"/>
      <c r="AA22" s="26"/>
      <c r="AB22" s="26"/>
      <c r="AC22" s="26"/>
      <c r="AD22" s="22"/>
      <c r="AE22" s="9">
        <f t="shared" si="0"/>
        <v>22.5</v>
      </c>
      <c r="AF22" s="2" t="s">
        <v>9</v>
      </c>
      <c r="AG22" s="10">
        <v>26</v>
      </c>
      <c r="AH22" s="11">
        <v>2</v>
      </c>
      <c r="AI22" s="11">
        <v>3</v>
      </c>
      <c r="AJ22" s="11">
        <v>2</v>
      </c>
      <c r="AK22" s="11">
        <v>0</v>
      </c>
    </row>
    <row r="23" spans="1:37" ht="13.5" thickBot="1" x14ac:dyDescent="0.25">
      <c r="A23" s="30"/>
      <c r="B23" s="41">
        <f>VLOOKUP(B16,AE19:AK25,4)</f>
        <v>1</v>
      </c>
      <c r="C23" s="26"/>
      <c r="D23" s="29" t="str">
        <f>IF(AND($B$25&gt;0,$B$27&gt;2),"┼─","│  ")</f>
        <v xml:space="preserve">│  </v>
      </c>
      <c r="E23" s="98" t="str">
        <f>IF($D$24=2,"- - - - - - -","")</f>
        <v/>
      </c>
      <c r="F23" s="19"/>
      <c r="G23" s="88"/>
      <c r="H23" s="13"/>
      <c r="I23" s="15" t="str">
        <f>E23</f>
        <v/>
      </c>
      <c r="J23" s="15"/>
      <c r="K23" s="45" t="str">
        <f>IF(AND($B$25=3,$B$27=3),"XX","")</f>
        <v/>
      </c>
      <c r="L23" s="16"/>
      <c r="M23" s="65" t="str">
        <f>E23</f>
        <v/>
      </c>
      <c r="N23" s="65"/>
      <c r="O23" s="45"/>
      <c r="P23" s="16"/>
      <c r="Q23" s="15" t="str">
        <f>E23</f>
        <v/>
      </c>
      <c r="R23" s="15"/>
      <c r="S23" s="45" t="str">
        <f>IF(AND($B$25=3,$B$27=3),"XX","")</f>
        <v/>
      </c>
      <c r="T23" s="16"/>
      <c r="U23" s="15" t="str">
        <f>E23</f>
        <v/>
      </c>
      <c r="V23" s="15"/>
      <c r="W23" s="45"/>
      <c r="X23" s="16"/>
      <c r="Y23" s="99" t="str">
        <f>E23</f>
        <v/>
      </c>
      <c r="Z23" s="26"/>
      <c r="AA23" s="26"/>
      <c r="AB23" s="26"/>
      <c r="AC23" s="26"/>
      <c r="AD23" s="22"/>
      <c r="AE23" s="9">
        <f t="shared" si="0"/>
        <v>26.5</v>
      </c>
      <c r="AF23" s="2" t="s">
        <v>9</v>
      </c>
      <c r="AG23" s="10">
        <v>35</v>
      </c>
      <c r="AH23" s="11">
        <v>2</v>
      </c>
      <c r="AI23" s="11">
        <v>3</v>
      </c>
      <c r="AJ23" s="11">
        <v>3</v>
      </c>
      <c r="AK23" s="11">
        <v>0</v>
      </c>
    </row>
    <row r="24" spans="1:37" x14ac:dyDescent="0.2">
      <c r="A24" s="30"/>
      <c r="B24" s="32" t="s">
        <v>12</v>
      </c>
      <c r="C24" s="26"/>
      <c r="D24" s="27" t="str">
        <f>IF(AND($B$25&gt;0,$B$27&gt;2),2,"│  ")</f>
        <v xml:space="preserve">│  </v>
      </c>
      <c r="E24" s="100"/>
      <c r="F24" s="20"/>
      <c r="G24" s="88"/>
      <c r="H24" s="13"/>
      <c r="I24" s="16"/>
      <c r="J24" s="16"/>
      <c r="K24" s="45"/>
      <c r="L24" s="16"/>
      <c r="M24" s="16"/>
      <c r="N24" s="16"/>
      <c r="O24" s="45"/>
      <c r="P24" s="16"/>
      <c r="Q24" s="16"/>
      <c r="R24" s="16"/>
      <c r="S24" s="45"/>
      <c r="T24" s="16"/>
      <c r="U24" s="16"/>
      <c r="V24" s="16"/>
      <c r="W24" s="45"/>
      <c r="X24" s="16"/>
      <c r="Y24" s="101"/>
      <c r="Z24" s="30"/>
      <c r="AA24" s="30"/>
      <c r="AB24" s="30"/>
      <c r="AC24" s="30"/>
      <c r="AD24" s="22"/>
      <c r="AE24" s="9">
        <f t="shared" si="0"/>
        <v>35.5</v>
      </c>
      <c r="AF24" s="2" t="s">
        <v>9</v>
      </c>
      <c r="AG24" s="10">
        <v>50</v>
      </c>
      <c r="AH24" s="11">
        <v>3</v>
      </c>
      <c r="AI24" s="11">
        <v>3</v>
      </c>
      <c r="AJ24" s="11">
        <v>3</v>
      </c>
      <c r="AK24" s="11">
        <v>3</v>
      </c>
    </row>
    <row r="25" spans="1:37" x14ac:dyDescent="0.2">
      <c r="A25" s="30"/>
      <c r="B25" s="32">
        <f>VLOOKUP(B16,AE19:AK25,5)</f>
        <v>3</v>
      </c>
      <c r="C25" s="26"/>
      <c r="D25" s="27" t="str">
        <f>IF(AND($B$25&gt;0,$B$27&gt;0),"┼─","│  ")</f>
        <v xml:space="preserve">│  </v>
      </c>
      <c r="E25" s="98" t="str">
        <f>E27</f>
        <v/>
      </c>
      <c r="F25" s="19"/>
      <c r="G25" s="87" t="str">
        <f>IF(AND($B$25=3,$B$27&gt;0),"XX","")</f>
        <v/>
      </c>
      <c r="H25" s="12"/>
      <c r="I25" s="15" t="str">
        <f>E27</f>
        <v/>
      </c>
      <c r="J25" s="15"/>
      <c r="K25" s="44" t="str">
        <f>IF(AND($B$25=2,$B$27&gt;0),"XX","")</f>
        <v/>
      </c>
      <c r="L25" s="15"/>
      <c r="M25" s="15" t="str">
        <f>E27</f>
        <v/>
      </c>
      <c r="N25" s="15"/>
      <c r="O25" s="44" t="str">
        <f>IF(AND($B$25=3,$B$27&gt;0),"XX","")</f>
        <v/>
      </c>
      <c r="P25" s="15"/>
      <c r="Q25" s="15" t="str">
        <f>E27</f>
        <v/>
      </c>
      <c r="R25" s="15"/>
      <c r="S25" s="44" t="str">
        <f>IF(AND($B$25=2,$B$27&gt;0),"XX","")</f>
        <v/>
      </c>
      <c r="T25" s="15"/>
      <c r="U25" s="15" t="str">
        <f>E27</f>
        <v/>
      </c>
      <c r="V25" s="15"/>
      <c r="W25" s="44" t="str">
        <f>IF(AND($B$25=3,$B$27&gt;0),"XX","")</f>
        <v/>
      </c>
      <c r="X25" s="15"/>
      <c r="Y25" s="99" t="str">
        <f>E27</f>
        <v/>
      </c>
      <c r="Z25" s="26"/>
      <c r="AA25" s="26"/>
      <c r="AB25" s="26"/>
      <c r="AC25" s="26"/>
      <c r="AD25" s="22"/>
      <c r="AE25" s="9">
        <v>50.5</v>
      </c>
      <c r="AF25" s="2" t="s">
        <v>9</v>
      </c>
      <c r="AG25" s="10">
        <v>100</v>
      </c>
      <c r="AH25" s="10" t="s">
        <v>10</v>
      </c>
      <c r="AI25" s="10" t="s">
        <v>10</v>
      </c>
      <c r="AJ25" s="10" t="s">
        <v>10</v>
      </c>
      <c r="AK25" s="10" t="s">
        <v>10</v>
      </c>
    </row>
    <row r="26" spans="1:37" x14ac:dyDescent="0.2">
      <c r="A26" s="30"/>
      <c r="B26" s="33" t="s">
        <v>11</v>
      </c>
      <c r="C26" s="26"/>
      <c r="D26" s="27" t="str">
        <f>IF(AND($B$25&gt;0,$B$27&gt;0),2,"│  ")</f>
        <v xml:space="preserve">│  </v>
      </c>
      <c r="E26" s="100"/>
      <c r="F26" s="20"/>
      <c r="G26" s="88"/>
      <c r="H26" s="13"/>
      <c r="I26" s="16"/>
      <c r="J26" s="16"/>
      <c r="K26" s="45"/>
      <c r="L26" s="16"/>
      <c r="M26" s="16"/>
      <c r="N26" s="16"/>
      <c r="O26" s="45"/>
      <c r="P26" s="16"/>
      <c r="Q26" s="16"/>
      <c r="R26" s="16"/>
      <c r="S26" s="45"/>
      <c r="T26" s="16"/>
      <c r="U26" s="16"/>
      <c r="V26" s="16"/>
      <c r="W26" s="45"/>
      <c r="X26" s="16"/>
      <c r="Y26" s="101"/>
      <c r="Z26" s="30"/>
      <c r="AA26" s="30"/>
      <c r="AB26" s="30"/>
      <c r="AC26" s="30"/>
      <c r="AD26" s="22"/>
      <c r="AE26" s="1"/>
      <c r="AF26" s="1"/>
      <c r="AG26" s="8"/>
      <c r="AH26" s="8"/>
      <c r="AI26" s="8"/>
      <c r="AJ26" s="8"/>
    </row>
    <row r="27" spans="1:37" x14ac:dyDescent="0.2">
      <c r="A27" s="30"/>
      <c r="B27" s="32">
        <f>VLOOKUP(B16,AE19:AK25,6)</f>
        <v>0</v>
      </c>
      <c r="C27" s="26"/>
      <c r="D27" s="29" t="str">
        <f>IF(AND($B$25&gt;0,$B$27&gt;0),"┼─","│  ")</f>
        <v xml:space="preserve">│  </v>
      </c>
      <c r="E27" s="100" t="str">
        <f>IF($D$26=2,"- - - - - - -","")</f>
        <v/>
      </c>
      <c r="F27" s="20"/>
      <c r="G27" s="88" t="str">
        <f>IF(AND($B$25=2,$B$27&gt;0),"XX","")</f>
        <v/>
      </c>
      <c r="H27" s="13"/>
      <c r="I27" s="16" t="str">
        <f>E27</f>
        <v/>
      </c>
      <c r="J27" s="16"/>
      <c r="K27" s="45" t="str">
        <f>IF(AND($B$25=3,$B$27&gt;0),"XX","")</f>
        <v/>
      </c>
      <c r="L27" s="16"/>
      <c r="M27" s="16" t="str">
        <f>E27</f>
        <v/>
      </c>
      <c r="N27" s="16"/>
      <c r="O27" s="45" t="str">
        <f>IF(AND($B$25=2,$B$27&gt;0),"XX","")</f>
        <v/>
      </c>
      <c r="P27" s="16"/>
      <c r="Q27" s="16" t="str">
        <f>E27</f>
        <v/>
      </c>
      <c r="R27" s="16"/>
      <c r="S27" s="45" t="str">
        <f>IF(AND($B$25=3,$B$27&gt;0),"XX","")</f>
        <v/>
      </c>
      <c r="T27" s="16"/>
      <c r="U27" s="16" t="str">
        <f>E27</f>
        <v/>
      </c>
      <c r="V27" s="16"/>
      <c r="W27" s="45" t="str">
        <f>IF(AND($B$25=2,$B$27&gt;0),"XX","")</f>
        <v/>
      </c>
      <c r="X27" s="16"/>
      <c r="Y27" s="101" t="str">
        <f>E27</f>
        <v/>
      </c>
      <c r="Z27" s="30"/>
      <c r="AA27" s="30"/>
      <c r="AB27" s="30"/>
      <c r="AC27" s="30"/>
      <c r="AD27" s="22"/>
      <c r="AE27" s="1"/>
      <c r="AF27" s="1"/>
      <c r="AG27" s="1"/>
      <c r="AH27" s="2" t="s">
        <v>14</v>
      </c>
      <c r="AI27" s="1">
        <f>B18/(B20/12)/2</f>
        <v>10.6875</v>
      </c>
      <c r="AJ27" s="1"/>
    </row>
    <row r="28" spans="1:37" x14ac:dyDescent="0.2">
      <c r="A28" s="30"/>
      <c r="B28" s="33" t="s">
        <v>26</v>
      </c>
      <c r="C28" s="26"/>
      <c r="D28" s="25" t="s">
        <v>25</v>
      </c>
      <c r="E28" s="100"/>
      <c r="F28" s="20"/>
      <c r="G28" s="88"/>
      <c r="H28" s="13"/>
      <c r="I28" s="16"/>
      <c r="J28" s="16"/>
      <c r="K28" s="45"/>
      <c r="L28" s="16"/>
      <c r="M28" s="16"/>
      <c r="N28" s="16"/>
      <c r="O28" s="45"/>
      <c r="P28" s="16"/>
      <c r="Q28" s="16"/>
      <c r="R28" s="16"/>
      <c r="S28" s="45"/>
      <c r="T28" s="16"/>
      <c r="U28" s="16"/>
      <c r="V28" s="16"/>
      <c r="W28" s="45"/>
      <c r="X28" s="16"/>
      <c r="Y28" s="101"/>
      <c r="Z28" s="30"/>
      <c r="AA28" s="30"/>
      <c r="AB28" s="30"/>
      <c r="AC28" s="30"/>
      <c r="AD28" s="22"/>
      <c r="AE28" s="7"/>
      <c r="AF28" s="7"/>
      <c r="AG28" s="7"/>
      <c r="AH28" s="7"/>
      <c r="AI28" s="7"/>
      <c r="AJ28" s="7"/>
    </row>
    <row r="29" spans="1:37" ht="13.5" thickBot="1" x14ac:dyDescent="0.25">
      <c r="A29" s="30"/>
      <c r="B29" s="41">
        <f>VLOOKUP(B16,AE19:AK25,7)</f>
        <v>0</v>
      </c>
      <c r="C29" s="26"/>
      <c r="D29" s="27">
        <f>IF(B23=1,B16-SUM(D32:D36),(B16-SUM(D24:D26,D32:D36,D16:D18))/B23)</f>
        <v>11</v>
      </c>
      <c r="E29" s="100"/>
      <c r="F29" s="20"/>
      <c r="G29" s="88"/>
      <c r="H29" s="13"/>
      <c r="I29" s="16"/>
      <c r="J29" s="16"/>
      <c r="K29" s="45"/>
      <c r="L29" s="16"/>
      <c r="M29" s="16"/>
      <c r="N29" s="16"/>
      <c r="O29" s="45"/>
      <c r="P29" s="16"/>
      <c r="Q29" s="16"/>
      <c r="R29" s="16"/>
      <c r="S29" s="45"/>
      <c r="T29" s="16"/>
      <c r="U29" s="16"/>
      <c r="V29" s="16"/>
      <c r="W29" s="45"/>
      <c r="X29" s="16"/>
      <c r="Y29" s="101"/>
      <c r="Z29" s="30"/>
      <c r="AA29" s="30"/>
      <c r="AB29" s="30"/>
      <c r="AC29" s="30"/>
      <c r="AD29" s="22"/>
      <c r="AE29" s="1"/>
      <c r="AF29" s="1"/>
      <c r="AG29" s="1"/>
      <c r="AH29" s="1"/>
      <c r="AI29" s="1"/>
      <c r="AJ29" s="1"/>
    </row>
    <row r="30" spans="1:37" ht="13.5" thickBot="1" x14ac:dyDescent="0.25">
      <c r="A30" s="30"/>
      <c r="B30" s="23"/>
      <c r="C30" s="26"/>
      <c r="D30" s="34" t="s">
        <v>25</v>
      </c>
      <c r="E30" s="100"/>
      <c r="F30" s="20"/>
      <c r="G30" s="88"/>
      <c r="H30" s="13"/>
      <c r="I30" s="16"/>
      <c r="J30" s="16"/>
      <c r="K30" s="45"/>
      <c r="L30" s="16"/>
      <c r="M30" s="16"/>
      <c r="N30" s="16"/>
      <c r="O30" s="45"/>
      <c r="P30" s="16"/>
      <c r="Q30" s="16"/>
      <c r="R30" s="16"/>
      <c r="S30" s="45"/>
      <c r="T30" s="16"/>
      <c r="U30" s="16"/>
      <c r="V30" s="16"/>
      <c r="W30" s="45"/>
      <c r="X30" s="16"/>
      <c r="Y30" s="101"/>
      <c r="Z30" s="30"/>
      <c r="AA30" s="30"/>
      <c r="AB30" s="30"/>
      <c r="AC30" s="30"/>
      <c r="AD30" s="22"/>
      <c r="AE30" s="7"/>
      <c r="AF30" s="7"/>
      <c r="AG30" s="7"/>
      <c r="AH30" s="7"/>
      <c r="AI30" s="7"/>
      <c r="AJ30" s="7"/>
    </row>
    <row r="31" spans="1:37" x14ac:dyDescent="0.2">
      <c r="A31" s="30"/>
      <c r="B31" s="28" t="s">
        <v>18</v>
      </c>
      <c r="C31" s="26"/>
      <c r="D31" s="35" t="str">
        <f>IF($B$25=3,"┼─","│  ")</f>
        <v>┼─</v>
      </c>
      <c r="E31" s="100" t="str">
        <f>IF($D$32=2,"- - - - - - -","")</f>
        <v>- - - - - - -</v>
      </c>
      <c r="F31" s="20"/>
      <c r="G31" s="88" t="str">
        <f>IF($B$25=3,"XX","")</f>
        <v>XX</v>
      </c>
      <c r="H31" s="13"/>
      <c r="I31" s="16" t="str">
        <f>E31</f>
        <v>- - - - - - -</v>
      </c>
      <c r="J31" s="16"/>
      <c r="K31" s="45"/>
      <c r="L31" s="16"/>
      <c r="M31" s="16" t="str">
        <f>E31</f>
        <v>- - - - - - -</v>
      </c>
      <c r="N31" s="16"/>
      <c r="O31" s="45" t="str">
        <f>IF($B$25=3,"XX","")</f>
        <v>XX</v>
      </c>
      <c r="P31" s="16"/>
      <c r="Q31" s="16" t="str">
        <f>E31</f>
        <v>- - - - - - -</v>
      </c>
      <c r="R31" s="16"/>
      <c r="S31" s="45"/>
      <c r="T31" s="16"/>
      <c r="U31" s="16" t="str">
        <f>E31</f>
        <v>- - - - - - -</v>
      </c>
      <c r="V31" s="16"/>
      <c r="W31" s="45" t="str">
        <f>IF($B$25=3,"XX","")</f>
        <v>XX</v>
      </c>
      <c r="X31" s="16"/>
      <c r="Y31" s="101" t="str">
        <f>E31</f>
        <v>- - - - - - -</v>
      </c>
      <c r="Z31" s="30"/>
      <c r="AA31" s="30"/>
      <c r="AB31" s="30"/>
      <c r="AC31" s="30"/>
      <c r="AD31" s="22"/>
      <c r="AE31" s="1"/>
      <c r="AF31" s="1"/>
      <c r="AG31" s="1"/>
      <c r="AH31" s="1"/>
      <c r="AI31" s="1"/>
      <c r="AJ31" s="1"/>
    </row>
    <row r="32" spans="1:37" ht="13.5" thickBot="1" x14ac:dyDescent="0.25">
      <c r="A32" s="30"/>
      <c r="B32" s="36">
        <f>ROUNDUP(AI27*(B25+B27+B29),0)</f>
        <v>33</v>
      </c>
      <c r="C32" s="26"/>
      <c r="D32" s="27">
        <f>IF($B$25=3,2,"│  ")</f>
        <v>2</v>
      </c>
      <c r="E32" s="100"/>
      <c r="F32" s="20"/>
      <c r="G32" s="88"/>
      <c r="H32" s="13"/>
      <c r="I32" s="16"/>
      <c r="J32" s="16"/>
      <c r="K32" s="45"/>
      <c r="L32" s="16"/>
      <c r="M32" s="16"/>
      <c r="N32" s="16"/>
      <c r="O32" s="45"/>
      <c r="P32" s="16"/>
      <c r="Q32" s="16"/>
      <c r="R32" s="16"/>
      <c r="S32" s="45"/>
      <c r="T32" s="16"/>
      <c r="U32" s="16"/>
      <c r="V32" s="16"/>
      <c r="W32" s="45"/>
      <c r="X32" s="16"/>
      <c r="Y32" s="101"/>
      <c r="Z32" s="30"/>
      <c r="AA32" s="30"/>
      <c r="AB32" s="30"/>
      <c r="AC32" s="30"/>
      <c r="AD32" s="22"/>
      <c r="AE32" s="7"/>
      <c r="AF32" s="7"/>
      <c r="AG32" s="7"/>
      <c r="AH32" s="7"/>
      <c r="AI32" s="7"/>
      <c r="AJ32" s="7"/>
    </row>
    <row r="33" spans="1:36" x14ac:dyDescent="0.2">
      <c r="A33" s="30"/>
      <c r="B33" s="28" t="s">
        <v>2</v>
      </c>
      <c r="C33" s="26"/>
      <c r="D33" s="37" t="s">
        <v>22</v>
      </c>
      <c r="E33" s="100" t="str">
        <f>E35</f>
        <v>- - - - - - -</v>
      </c>
      <c r="F33" s="20"/>
      <c r="G33" s="88"/>
      <c r="H33" s="13"/>
      <c r="I33" s="16" t="str">
        <f>E35</f>
        <v>- - - - - - -</v>
      </c>
      <c r="J33" s="16"/>
      <c r="K33" s="45" t="str">
        <f>IF(OR($B$25=2,$B$25=3),"XX","")</f>
        <v>XX</v>
      </c>
      <c r="L33" s="16"/>
      <c r="M33" s="16" t="str">
        <f>E35</f>
        <v>- - - - - - -</v>
      </c>
      <c r="N33" s="16"/>
      <c r="O33" s="45"/>
      <c r="P33" s="16"/>
      <c r="Q33" s="16" t="str">
        <f>E35</f>
        <v>- - - - - - -</v>
      </c>
      <c r="R33" s="16"/>
      <c r="S33" s="45" t="str">
        <f>IF(OR($B$25=2,$B$25=3),"XX","")</f>
        <v>XX</v>
      </c>
      <c r="T33" s="16"/>
      <c r="U33" s="16" t="str">
        <f>E35</f>
        <v>- - - - - - -</v>
      </c>
      <c r="V33" s="16"/>
      <c r="W33" s="45"/>
      <c r="X33" s="16"/>
      <c r="Y33" s="101" t="str">
        <f>E35</f>
        <v>- - - - - - -</v>
      </c>
      <c r="Z33" s="30"/>
      <c r="AA33" s="30"/>
      <c r="AB33" s="30"/>
      <c r="AC33" s="30"/>
      <c r="AD33" s="22"/>
      <c r="AE33" s="3"/>
      <c r="AF33" s="3"/>
      <c r="AG33" s="3"/>
      <c r="AH33" s="3"/>
      <c r="AI33" s="3"/>
      <c r="AJ33" s="3"/>
    </row>
    <row r="34" spans="1:36" ht="13.5" thickBot="1" x14ac:dyDescent="0.25">
      <c r="A34" s="22"/>
      <c r="B34" s="42">
        <f>B16*B18/100</f>
        <v>4.8449999999999998</v>
      </c>
      <c r="C34" s="22"/>
      <c r="D34" s="27">
        <v>2</v>
      </c>
      <c r="E34" s="100"/>
      <c r="F34" s="20"/>
      <c r="G34" s="88"/>
      <c r="H34" s="13"/>
      <c r="I34" s="16"/>
      <c r="J34" s="16"/>
      <c r="K34" s="45"/>
      <c r="L34" s="16"/>
      <c r="M34" s="16"/>
      <c r="N34" s="16"/>
      <c r="O34" s="45"/>
      <c r="P34" s="16"/>
      <c r="Q34" s="16"/>
      <c r="R34" s="16"/>
      <c r="S34" s="45"/>
      <c r="T34" s="16"/>
      <c r="U34" s="16"/>
      <c r="V34" s="16"/>
      <c r="W34" s="45"/>
      <c r="X34" s="16"/>
      <c r="Y34" s="101"/>
      <c r="Z34" s="30"/>
      <c r="AA34" s="30"/>
      <c r="AB34" s="30"/>
      <c r="AC34" s="30"/>
      <c r="AD34" s="22"/>
    </row>
    <row r="35" spans="1:36" x14ac:dyDescent="0.2">
      <c r="A35" s="22"/>
      <c r="B35" s="31" t="s">
        <v>3</v>
      </c>
      <c r="C35" s="22"/>
      <c r="D35" s="25" t="s">
        <v>22</v>
      </c>
      <c r="E35" s="102" t="str">
        <f>IF($D$36=2,"- - - - - - -","")</f>
        <v>- - - - - - -</v>
      </c>
      <c r="F35" s="90"/>
      <c r="G35" s="88" t="str">
        <f>IF(OR($B$25=2,$B$25=3),"XX","")</f>
        <v>XX</v>
      </c>
      <c r="H35" s="13"/>
      <c r="I35" s="16" t="str">
        <f>E35</f>
        <v>- - - - - - -</v>
      </c>
      <c r="J35" s="16"/>
      <c r="K35" s="45"/>
      <c r="L35" s="16"/>
      <c r="M35" s="16" t="str">
        <f>E35</f>
        <v>- - - - - - -</v>
      </c>
      <c r="N35" s="16"/>
      <c r="O35" s="45" t="str">
        <f>IF(OR($B$25=2,$B$25=3),"XX","")</f>
        <v>XX</v>
      </c>
      <c r="P35" s="16"/>
      <c r="Q35" s="16" t="str">
        <f>E35</f>
        <v>- - - - - - -</v>
      </c>
      <c r="R35" s="16"/>
      <c r="S35" s="45"/>
      <c r="T35" s="16"/>
      <c r="U35" s="16" t="str">
        <f>E35</f>
        <v>- - - - - - -</v>
      </c>
      <c r="V35" s="16"/>
      <c r="W35" s="45" t="str">
        <f>IF(OR($B$25=2,$B$25=3),"XX","")</f>
        <v>XX</v>
      </c>
      <c r="X35" s="16"/>
      <c r="Y35" s="101" t="str">
        <f>E35</f>
        <v>- - - - - - -</v>
      </c>
      <c r="Z35" s="30"/>
      <c r="AA35" s="30"/>
      <c r="AB35" s="30"/>
      <c r="AC35" s="30"/>
      <c r="AD35" s="22"/>
      <c r="AE35" s="2"/>
      <c r="AF35" s="2"/>
      <c r="AG35" s="2"/>
      <c r="AH35" s="2"/>
      <c r="AI35" s="2"/>
      <c r="AJ35" s="2"/>
    </row>
    <row r="36" spans="1:36" ht="13.5" thickBot="1" x14ac:dyDescent="0.25">
      <c r="A36" s="22"/>
      <c r="B36" s="43">
        <f>ROUNDUP(B32/B34,0)</f>
        <v>7</v>
      </c>
      <c r="C36" s="22"/>
      <c r="D36" s="27">
        <v>2</v>
      </c>
      <c r="E36" s="100"/>
      <c r="F36" s="20"/>
      <c r="G36" s="88"/>
      <c r="H36" s="13"/>
      <c r="I36" s="16"/>
      <c r="J36" s="16"/>
      <c r="K36" s="45"/>
      <c r="L36" s="16"/>
      <c r="M36" s="16"/>
      <c r="N36" s="16"/>
      <c r="O36" s="45"/>
      <c r="P36" s="16"/>
      <c r="Q36" s="16"/>
      <c r="R36" s="16"/>
      <c r="S36" s="45"/>
      <c r="T36" s="16"/>
      <c r="U36" s="16"/>
      <c r="V36" s="16"/>
      <c r="W36" s="45"/>
      <c r="X36" s="16"/>
      <c r="Y36" s="101"/>
      <c r="Z36" s="30"/>
      <c r="AA36" s="30"/>
      <c r="AB36" s="30"/>
      <c r="AC36" s="30"/>
      <c r="AD36" s="22"/>
      <c r="AE36" s="1"/>
      <c r="AF36" s="1"/>
      <c r="AG36" s="1"/>
      <c r="AH36" s="1"/>
      <c r="AI36" s="1"/>
      <c r="AJ36" s="1"/>
    </row>
    <row r="37" spans="1:36" ht="13.5" thickBot="1" x14ac:dyDescent="0.25">
      <c r="A37" s="22"/>
      <c r="B37" s="23"/>
      <c r="C37" s="22"/>
      <c r="D37" s="25" t="s">
        <v>24</v>
      </c>
      <c r="E37" s="103"/>
      <c r="F37" s="21"/>
      <c r="G37" s="89"/>
      <c r="H37" s="14"/>
      <c r="I37" s="17"/>
      <c r="J37" s="17"/>
      <c r="K37" s="46"/>
      <c r="L37" s="17"/>
      <c r="M37" s="17"/>
      <c r="N37" s="17"/>
      <c r="O37" s="46"/>
      <c r="P37" s="17"/>
      <c r="Q37" s="17"/>
      <c r="R37" s="17"/>
      <c r="S37" s="46"/>
      <c r="T37" s="17"/>
      <c r="U37" s="17"/>
      <c r="V37" s="17"/>
      <c r="W37" s="46"/>
      <c r="X37" s="17"/>
      <c r="Y37" s="104"/>
      <c r="Z37" s="30"/>
      <c r="AA37" s="30"/>
      <c r="AB37" s="30"/>
      <c r="AC37" s="30"/>
      <c r="AD37" s="22"/>
    </row>
    <row r="38" spans="1:36" x14ac:dyDescent="0.2">
      <c r="A38" s="22"/>
      <c r="B38" s="23"/>
      <c r="C38" s="22"/>
      <c r="D38" s="26"/>
      <c r="E38" s="202">
        <f>$B$20</f>
        <v>16</v>
      </c>
      <c r="F38" s="38"/>
      <c r="G38" s="38" t="s">
        <v>21</v>
      </c>
      <c r="H38" s="38"/>
      <c r="I38" s="202">
        <f t="shared" ref="I38:Y38" si="1">$B$20</f>
        <v>16</v>
      </c>
      <c r="J38" s="38"/>
      <c r="K38" s="38" t="s">
        <v>21</v>
      </c>
      <c r="L38" s="38"/>
      <c r="M38" s="202">
        <f t="shared" si="1"/>
        <v>16</v>
      </c>
      <c r="N38" s="38"/>
      <c r="O38" s="38" t="s">
        <v>21</v>
      </c>
      <c r="P38" s="38"/>
      <c r="Q38" s="202">
        <f t="shared" si="1"/>
        <v>16</v>
      </c>
      <c r="R38" s="38"/>
      <c r="S38" s="38" t="s">
        <v>21</v>
      </c>
      <c r="T38" s="38"/>
      <c r="U38" s="202">
        <f t="shared" si="1"/>
        <v>16</v>
      </c>
      <c r="V38" s="38"/>
      <c r="W38" s="38" t="s">
        <v>21</v>
      </c>
      <c r="X38" s="38"/>
      <c r="Y38" s="202">
        <f t="shared" si="1"/>
        <v>16</v>
      </c>
      <c r="Z38" s="38"/>
      <c r="AA38" s="38"/>
      <c r="AB38" s="38"/>
      <c r="AC38" s="38"/>
      <c r="AD38" s="22"/>
    </row>
    <row r="39" spans="1:36" x14ac:dyDescent="0.2">
      <c r="A39" s="22"/>
      <c r="B39" s="23"/>
      <c r="C39" s="22"/>
      <c r="D39" s="22"/>
      <c r="E39" s="26"/>
      <c r="F39" s="26"/>
      <c r="G39" s="26"/>
      <c r="H39" s="26"/>
      <c r="I39" s="26"/>
      <c r="J39" s="26"/>
      <c r="K39" s="26"/>
      <c r="L39" s="26"/>
      <c r="M39" s="22"/>
      <c r="N39" s="22"/>
      <c r="O39" s="26"/>
      <c r="P39" s="26"/>
      <c r="Q39" s="39"/>
      <c r="R39" s="39"/>
      <c r="S39" s="26"/>
      <c r="T39" s="26"/>
      <c r="U39" s="22"/>
      <c r="V39" s="22"/>
      <c r="W39" s="26"/>
      <c r="X39" s="26"/>
      <c r="Y39" s="22"/>
      <c r="Z39" s="22"/>
      <c r="AA39" s="22"/>
      <c r="AB39" s="22"/>
      <c r="AC39" s="22"/>
      <c r="AD39" s="22"/>
    </row>
    <row r="40" spans="1:36" x14ac:dyDescent="0.2">
      <c r="A40" s="22"/>
      <c r="B40" s="23"/>
      <c r="C40" s="22"/>
      <c r="D40" s="22"/>
      <c r="E40" s="23"/>
      <c r="F40" s="23"/>
      <c r="G40" s="22"/>
      <c r="H40" s="22"/>
      <c r="I40" s="22"/>
      <c r="J40" s="22"/>
      <c r="K40" s="22"/>
      <c r="L40" s="22"/>
      <c r="M40" s="22"/>
      <c r="N40" s="22"/>
      <c r="O40" s="24" t="s">
        <v>0</v>
      </c>
      <c r="P40" s="24"/>
      <c r="Q40" s="22"/>
      <c r="R40" s="22"/>
      <c r="S40" s="22"/>
      <c r="T40" s="22"/>
      <c r="U40" s="22"/>
      <c r="V40" s="22"/>
      <c r="W40" s="22"/>
      <c r="X40" s="22"/>
      <c r="Y40" s="22"/>
      <c r="Z40" s="22"/>
      <c r="AA40" s="22"/>
      <c r="AB40" s="22"/>
      <c r="AC40" s="22"/>
      <c r="AD40" s="22"/>
    </row>
    <row r="41" spans="1:36" x14ac:dyDescent="0.2">
      <c r="A41" s="22"/>
      <c r="B41" s="23"/>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row>
    <row r="42" spans="1:36" x14ac:dyDescent="0.2">
      <c r="A42" s="22"/>
      <c r="B42" s="23"/>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row>
    <row r="43" spans="1:36" x14ac:dyDescent="0.2">
      <c r="A43" s="22"/>
      <c r="B43" s="23"/>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row>
    <row r="44" spans="1:36" ht="78.599999999999994" customHeight="1" x14ac:dyDescent="0.2">
      <c r="A44" s="22"/>
      <c r="B44" s="206" t="s">
        <v>69</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2"/>
      <c r="AA44" s="22"/>
      <c r="AB44" s="22"/>
      <c r="AC44" s="22"/>
      <c r="AD44" s="22"/>
    </row>
    <row r="45" spans="1:36" x14ac:dyDescent="0.2">
      <c r="A45" s="22"/>
      <c r="B45" s="23"/>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6" x14ac:dyDescent="0.2">
      <c r="A46" s="22"/>
      <c r="B46" s="23"/>
      <c r="C46" s="22"/>
      <c r="D46" s="22"/>
      <c r="E46" s="23"/>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row>
    <row r="47" spans="1:36" x14ac:dyDescent="0.2">
      <c r="A47" s="22"/>
      <c r="B47" s="23"/>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row>
    <row r="48" spans="1:36" x14ac:dyDescent="0.2">
      <c r="A48" s="22"/>
      <c r="B48" s="23"/>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row>
    <row r="49" spans="1:30" x14ac:dyDescent="0.2">
      <c r="A49" s="22"/>
      <c r="B49" s="23"/>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row>
    <row r="50" spans="1:30" x14ac:dyDescent="0.2">
      <c r="A50" s="22"/>
      <c r="B50" s="23"/>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row>
    <row r="51" spans="1:30" x14ac:dyDescent="0.2">
      <c r="A51" s="22"/>
      <c r="B51" s="23"/>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1:30" x14ac:dyDescent="0.2">
      <c r="A52" s="22"/>
      <c r="B52" s="23"/>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1:30" x14ac:dyDescent="0.2">
      <c r="A53" s="22"/>
      <c r="B53" s="23"/>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1:30" x14ac:dyDescent="0.2">
      <c r="A54" s="22"/>
      <c r="B54" s="23"/>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row>
    <row r="55" spans="1:30" x14ac:dyDescent="0.2">
      <c r="A55" s="22"/>
      <c r="B55" s="23"/>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row>
  </sheetData>
  <sheetProtection algorithmName="SHA-512" hashValue="KTlaE67YASjooAonG5pkk5Tqp65hHWnOBXvcT4o+Mggfa2RcTbrc6o+qSjPUpEct8mcQyEZ/D23GEf3xFZfPvQ==" saltValue="GyZIBZtequMOpo9FnUztHg==" spinCount="100000" sheet="1" objects="1" scenarios="1" selectLockedCells="1"/>
  <mergeCells count="1">
    <mergeCell ref="B44:Y44"/>
  </mergeCells>
  <phoneticPr fontId="0" type="noConversion"/>
  <pageMargins left="0.75" right="0.75" top="1" bottom="1" header="0.5" footer="0.5"/>
  <pageSetup scale="69" orientation="portrait" blackAndWhite="1" r:id="rId1"/>
  <headerFooter alignWithMargins="0">
    <oddHeader>&amp;LSnow Guard Calculator&amp;R&amp;D</oddHeader>
  </headerFooter>
  <ignoredErrors>
    <ignoredError sqref="D16 D18 D2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49"/>
  <sheetViews>
    <sheetView view="pageBreakPreview" zoomScale="175" zoomScaleNormal="78" zoomScaleSheetLayoutView="175" workbookViewId="0">
      <selection activeCell="B5" sqref="B5"/>
    </sheetView>
  </sheetViews>
  <sheetFormatPr defaultRowHeight="12.75" x14ac:dyDescent="0.2"/>
  <cols>
    <col min="1" max="1" width="12" customWidth="1"/>
    <col min="2" max="2" width="27" customWidth="1"/>
    <col min="5" max="5" width="0.85546875" customWidth="1"/>
    <col min="7" max="7" width="1" customWidth="1"/>
    <col min="9" max="9" width="1" customWidth="1"/>
    <col min="11" max="11" width="1" customWidth="1"/>
    <col min="13" max="13" width="1" customWidth="1"/>
    <col min="15" max="15" width="1.140625" customWidth="1"/>
    <col min="17" max="17" width="1" customWidth="1"/>
    <col min="18" max="18" width="10" customWidth="1"/>
    <col min="19" max="19" width="6.85546875" customWidth="1"/>
    <col min="20" max="20" width="2.5703125" bestFit="1" customWidth="1"/>
    <col min="21" max="21" width="5.28515625" customWidth="1"/>
    <col min="22" max="22" width="13.5703125" bestFit="1" customWidth="1"/>
    <col min="23" max="25" width="13.85546875" bestFit="1" customWidth="1"/>
  </cols>
  <sheetData>
    <row r="1" spans="1:18" x14ac:dyDescent="0.2">
      <c r="A1" s="22"/>
      <c r="B1" s="22"/>
      <c r="C1" s="22"/>
      <c r="D1" s="22"/>
      <c r="E1" s="22"/>
      <c r="F1" s="22"/>
      <c r="G1" s="22"/>
      <c r="H1" s="22"/>
      <c r="I1" s="22"/>
      <c r="J1" s="22"/>
      <c r="K1" s="22"/>
      <c r="L1" s="22"/>
      <c r="M1" s="22"/>
      <c r="N1" s="22"/>
      <c r="O1" s="22"/>
      <c r="P1" s="22"/>
      <c r="Q1" s="22"/>
      <c r="R1" s="22"/>
    </row>
    <row r="2" spans="1:18" x14ac:dyDescent="0.2">
      <c r="A2" s="22"/>
      <c r="B2" s="22"/>
      <c r="C2" s="22"/>
      <c r="D2" s="22"/>
      <c r="E2" s="22"/>
      <c r="F2" s="22"/>
      <c r="G2" s="22"/>
      <c r="H2" s="22"/>
      <c r="I2" s="22"/>
      <c r="J2" s="22"/>
      <c r="K2" s="22"/>
      <c r="L2" s="22"/>
      <c r="M2" s="22"/>
      <c r="N2" s="22"/>
      <c r="O2" s="22"/>
      <c r="P2" s="22"/>
      <c r="Q2" s="22"/>
      <c r="R2" s="22"/>
    </row>
    <row r="3" spans="1:18" x14ac:dyDescent="0.2">
      <c r="A3" s="22"/>
      <c r="B3" s="22"/>
      <c r="C3" s="22"/>
      <c r="D3" s="22"/>
      <c r="E3" s="22"/>
      <c r="F3" s="22"/>
      <c r="G3" s="22"/>
      <c r="H3" s="22"/>
      <c r="I3" s="22"/>
      <c r="J3" s="22"/>
      <c r="K3" s="22"/>
      <c r="L3" s="22"/>
      <c r="M3" s="22"/>
      <c r="N3" s="22"/>
      <c r="O3" s="22"/>
      <c r="P3" s="22"/>
      <c r="Q3" s="22"/>
      <c r="R3" s="22"/>
    </row>
    <row r="4" spans="1:18" x14ac:dyDescent="0.2">
      <c r="A4" s="22"/>
      <c r="B4" s="22"/>
      <c r="C4" s="22"/>
      <c r="D4" s="22"/>
      <c r="E4" s="22"/>
      <c r="F4" s="22"/>
      <c r="G4" s="22"/>
      <c r="H4" s="22"/>
      <c r="I4" s="22"/>
      <c r="J4" s="22"/>
      <c r="K4" s="22"/>
      <c r="L4" s="22"/>
      <c r="M4" s="22"/>
      <c r="N4" s="22"/>
      <c r="O4" s="22"/>
      <c r="P4" s="22"/>
      <c r="Q4" s="22"/>
      <c r="R4" s="22"/>
    </row>
    <row r="5" spans="1:18" x14ac:dyDescent="0.2">
      <c r="A5" s="22" t="s">
        <v>32</v>
      </c>
      <c r="B5" s="191"/>
      <c r="C5" s="22"/>
      <c r="D5" s="22"/>
      <c r="E5" s="22"/>
      <c r="F5" s="22"/>
      <c r="G5" s="22"/>
      <c r="H5" s="22"/>
      <c r="I5" s="22"/>
      <c r="J5" s="22"/>
      <c r="K5" s="22"/>
      <c r="L5" s="22"/>
      <c r="M5" s="22"/>
      <c r="N5" s="22"/>
      <c r="O5" s="22"/>
      <c r="P5" s="22"/>
      <c r="Q5" s="22"/>
      <c r="R5" s="22"/>
    </row>
    <row r="6" spans="1:18" x14ac:dyDescent="0.2">
      <c r="A6" s="22" t="s">
        <v>33</v>
      </c>
      <c r="B6" s="40">
        <f ca="1">TODAY()</f>
        <v>45467</v>
      </c>
      <c r="C6" s="22"/>
      <c r="D6" s="22"/>
      <c r="E6" s="22"/>
      <c r="F6" s="22"/>
      <c r="G6" s="22"/>
      <c r="H6" s="22"/>
      <c r="I6" s="22"/>
      <c r="J6" s="22"/>
      <c r="K6" s="22"/>
      <c r="L6" s="22"/>
      <c r="M6" s="22"/>
      <c r="N6" s="22"/>
      <c r="O6" s="22"/>
      <c r="P6" s="22"/>
      <c r="Q6" s="22"/>
      <c r="R6" s="22"/>
    </row>
    <row r="7" spans="1:18" x14ac:dyDescent="0.2">
      <c r="A7" s="22" t="s">
        <v>34</v>
      </c>
      <c r="B7" s="191"/>
      <c r="C7" s="22"/>
      <c r="D7" s="22"/>
      <c r="E7" s="22"/>
      <c r="F7" s="22"/>
      <c r="G7" s="22"/>
      <c r="H7" s="22"/>
      <c r="I7" s="22"/>
      <c r="J7" s="22"/>
      <c r="K7" s="22"/>
      <c r="L7" s="22"/>
      <c r="M7" s="22"/>
      <c r="N7" s="22"/>
      <c r="O7" s="22"/>
      <c r="P7" s="22"/>
      <c r="Q7" s="22"/>
      <c r="R7" s="22"/>
    </row>
    <row r="8" spans="1:18" x14ac:dyDescent="0.2">
      <c r="A8" s="22"/>
      <c r="B8" s="22"/>
      <c r="C8" s="22"/>
      <c r="D8" s="22"/>
      <c r="E8" s="22"/>
      <c r="F8" s="22"/>
      <c r="G8" s="22"/>
      <c r="H8" s="22"/>
      <c r="I8" s="22"/>
      <c r="J8" s="22"/>
      <c r="K8" s="22"/>
      <c r="L8" s="22"/>
      <c r="M8" s="22"/>
      <c r="N8" s="22"/>
      <c r="O8" s="22"/>
      <c r="P8" s="22"/>
      <c r="Q8" s="22"/>
      <c r="R8" s="22"/>
    </row>
    <row r="9" spans="1:18" x14ac:dyDescent="0.2">
      <c r="A9" s="22"/>
      <c r="B9" s="23" t="s">
        <v>4</v>
      </c>
      <c r="C9" s="22"/>
      <c r="D9" s="22"/>
      <c r="E9" s="22"/>
      <c r="F9" s="22"/>
      <c r="G9" s="22"/>
      <c r="H9" s="22"/>
      <c r="I9" s="22"/>
      <c r="J9" s="22"/>
      <c r="K9" s="22"/>
      <c r="L9" s="22"/>
      <c r="M9" s="22"/>
      <c r="N9" s="22"/>
      <c r="O9" s="22"/>
      <c r="P9" s="22"/>
      <c r="Q9" s="22"/>
      <c r="R9" s="22"/>
    </row>
    <row r="10" spans="1:18" x14ac:dyDescent="0.2">
      <c r="A10" s="22"/>
      <c r="B10" s="23" t="s">
        <v>15</v>
      </c>
      <c r="C10" s="22"/>
      <c r="D10" s="22"/>
      <c r="E10" s="22"/>
      <c r="F10" s="22"/>
      <c r="G10" s="22"/>
      <c r="H10" s="22"/>
      <c r="I10" s="22"/>
      <c r="J10" s="22"/>
      <c r="K10" s="22"/>
      <c r="L10" s="22"/>
      <c r="M10" s="22"/>
      <c r="N10" s="22"/>
      <c r="O10" s="22"/>
      <c r="P10" s="22"/>
      <c r="Q10" s="22"/>
      <c r="R10" s="22"/>
    </row>
    <row r="11" spans="1:18" x14ac:dyDescent="0.2">
      <c r="A11" s="22"/>
      <c r="B11" s="23" t="s">
        <v>16</v>
      </c>
      <c r="C11" s="22"/>
      <c r="D11" s="22"/>
      <c r="E11" s="22"/>
      <c r="F11" s="22"/>
      <c r="G11" s="22"/>
      <c r="H11" s="22"/>
      <c r="I11" s="22"/>
      <c r="J11" s="22"/>
      <c r="K11" s="24" t="s">
        <v>5</v>
      </c>
      <c r="L11" s="22"/>
      <c r="M11" s="22"/>
      <c r="N11" s="22"/>
      <c r="O11" s="22"/>
      <c r="P11" s="22"/>
      <c r="Q11" s="22"/>
      <c r="R11" s="22"/>
    </row>
    <row r="12" spans="1:18" ht="13.5" thickBot="1" x14ac:dyDescent="0.25">
      <c r="A12" s="22"/>
      <c r="B12" s="23" t="s">
        <v>17</v>
      </c>
      <c r="C12" s="22"/>
      <c r="D12" s="22"/>
      <c r="E12" s="22"/>
      <c r="F12" s="22"/>
      <c r="G12" s="22"/>
      <c r="H12" s="22"/>
      <c r="I12" s="22"/>
      <c r="J12" s="22"/>
      <c r="K12" s="24"/>
      <c r="L12" s="22"/>
      <c r="M12" s="22"/>
      <c r="N12" s="22"/>
      <c r="O12" s="22"/>
      <c r="P12" s="22"/>
      <c r="Q12" s="22"/>
      <c r="R12" s="22"/>
    </row>
    <row r="13" spans="1:18" x14ac:dyDescent="0.2">
      <c r="A13" s="22"/>
      <c r="B13" s="22"/>
      <c r="C13" s="22"/>
      <c r="D13" s="34" t="s">
        <v>23</v>
      </c>
      <c r="E13" s="77"/>
      <c r="F13" s="67"/>
      <c r="G13" s="72"/>
      <c r="H13" s="67"/>
      <c r="I13" s="72"/>
      <c r="J13" s="67"/>
      <c r="K13" s="72"/>
      <c r="L13" s="67"/>
      <c r="M13" s="72"/>
      <c r="N13" s="67"/>
      <c r="O13" s="72"/>
      <c r="P13" s="67"/>
      <c r="Q13" s="85"/>
      <c r="R13" s="22"/>
    </row>
    <row r="14" spans="1:18" ht="13.5" thickBot="1" x14ac:dyDescent="0.25">
      <c r="A14" s="22"/>
      <c r="B14" s="22"/>
      <c r="C14" s="26"/>
      <c r="D14" s="68">
        <f>IF(B23=3,(B16-SUM(D16:D18,D24:D26,D32:D36))/B23,"│  ")</f>
        <v>12</v>
      </c>
      <c r="E14" s="78"/>
      <c r="F14" s="16"/>
      <c r="G14" s="73"/>
      <c r="H14" s="16"/>
      <c r="I14" s="73"/>
      <c r="J14" s="16"/>
      <c r="K14" s="73"/>
      <c r="L14" s="16"/>
      <c r="M14" s="73"/>
      <c r="N14" s="16"/>
      <c r="O14" s="75"/>
      <c r="P14" s="16"/>
      <c r="Q14" s="86"/>
      <c r="R14" s="22"/>
    </row>
    <row r="15" spans="1:18" x14ac:dyDescent="0.2">
      <c r="A15" s="22"/>
      <c r="B15" s="28" t="s">
        <v>13</v>
      </c>
      <c r="C15" s="26"/>
      <c r="D15" s="69" t="str">
        <f>IF($B$29=3,"┼─","│  ")</f>
        <v>┼─</v>
      </c>
      <c r="E15" s="79"/>
      <c r="F15" s="16" t="str">
        <f>IF($B$29=3,"- - XX - -","")</f>
        <v>- - XX - -</v>
      </c>
      <c r="G15" s="73"/>
      <c r="H15" s="16" t="str">
        <f>H19</f>
        <v>- - - - - -</v>
      </c>
      <c r="I15" s="73"/>
      <c r="J15" s="16" t="str">
        <f>F15</f>
        <v>- - XX - -</v>
      </c>
      <c r="K15" s="73"/>
      <c r="L15" s="16" t="str">
        <f>H19</f>
        <v>- - - - - -</v>
      </c>
      <c r="M15" s="73"/>
      <c r="N15" s="16" t="str">
        <f>F15</f>
        <v>- - XX - -</v>
      </c>
      <c r="O15" s="75"/>
      <c r="P15" s="16" t="str">
        <f>H19</f>
        <v>- - - - - -</v>
      </c>
      <c r="Q15" s="86"/>
      <c r="R15" s="22"/>
    </row>
    <row r="16" spans="1:18" ht="13.5" thickBot="1" x14ac:dyDescent="0.25">
      <c r="A16" s="22"/>
      <c r="B16" s="197">
        <v>50</v>
      </c>
      <c r="C16" s="26"/>
      <c r="D16" s="68">
        <f>IF($B$29=3,2,"│  ")</f>
        <v>2</v>
      </c>
      <c r="E16" s="78"/>
      <c r="F16" s="16"/>
      <c r="G16" s="73"/>
      <c r="H16" s="16"/>
      <c r="I16" s="73"/>
      <c r="J16" s="16"/>
      <c r="K16" s="73"/>
      <c r="L16" s="16"/>
      <c r="M16" s="73"/>
      <c r="N16" s="16"/>
      <c r="O16" s="75"/>
      <c r="P16" s="16"/>
      <c r="Q16" s="73"/>
      <c r="R16" s="22"/>
    </row>
    <row r="17" spans="1:25" x14ac:dyDescent="0.2">
      <c r="A17" s="30"/>
      <c r="B17" s="28" t="s">
        <v>19</v>
      </c>
      <c r="C17" s="26"/>
      <c r="D17" s="68" t="str">
        <f>IF($B$29=3,"┼─","│  ")</f>
        <v>┼─</v>
      </c>
      <c r="E17" s="78"/>
      <c r="F17" s="16" t="str">
        <f>H19</f>
        <v>- - - - - -</v>
      </c>
      <c r="G17" s="73"/>
      <c r="H17" s="16" t="str">
        <f>IF($B$29=3,"- - XX - -","")</f>
        <v>- - XX - -</v>
      </c>
      <c r="I17" s="73"/>
      <c r="J17" s="16" t="str">
        <f>H19</f>
        <v>- - - - - -</v>
      </c>
      <c r="K17" s="73"/>
      <c r="L17" s="16" t="str">
        <f>H17</f>
        <v>- - XX - -</v>
      </c>
      <c r="M17" s="73"/>
      <c r="N17" s="16" t="str">
        <f>H19</f>
        <v>- - - - - -</v>
      </c>
      <c r="O17" s="75"/>
      <c r="P17" s="16" t="str">
        <f>H17</f>
        <v>- - XX - -</v>
      </c>
      <c r="Q17" s="86"/>
      <c r="R17" s="22"/>
    </row>
    <row r="18" spans="1:25" ht="13.5" thickBot="1" x14ac:dyDescent="0.25">
      <c r="A18" s="30"/>
      <c r="B18" s="198">
        <v>30</v>
      </c>
      <c r="C18" s="26"/>
      <c r="D18" s="68">
        <f>IF($B$29=3,2,"│  ")</f>
        <v>2</v>
      </c>
      <c r="E18" s="78"/>
      <c r="F18" s="16"/>
      <c r="G18" s="73"/>
      <c r="H18" s="16"/>
      <c r="I18" s="73"/>
      <c r="J18" s="16"/>
      <c r="K18" s="73"/>
      <c r="L18" s="16"/>
      <c r="M18" s="73"/>
      <c r="N18" s="16"/>
      <c r="O18" s="75"/>
      <c r="P18" s="16"/>
      <c r="Q18" s="73"/>
      <c r="R18" s="22"/>
      <c r="S18" s="5" t="s">
        <v>6</v>
      </c>
      <c r="T18" s="5"/>
      <c r="U18" s="5" t="s">
        <v>7</v>
      </c>
      <c r="V18" s="5" t="s">
        <v>8</v>
      </c>
      <c r="W18" s="5" t="s">
        <v>27</v>
      </c>
      <c r="X18" s="5" t="s">
        <v>28</v>
      </c>
      <c r="Y18" s="5" t="s">
        <v>29</v>
      </c>
    </row>
    <row r="19" spans="1:25" x14ac:dyDescent="0.2">
      <c r="A19" s="30"/>
      <c r="B19" s="31" t="s">
        <v>31</v>
      </c>
      <c r="C19" s="26"/>
      <c r="D19" s="69" t="str">
        <f>IF($B$29=3,"┼─","│  ")</f>
        <v>┼─</v>
      </c>
      <c r="E19" s="79"/>
      <c r="F19" s="16" t="str">
        <f>IF($B$29=3,"- - XX - - ","")</f>
        <v xml:space="preserve">- - XX - - </v>
      </c>
      <c r="G19" s="73"/>
      <c r="H19" s="16" t="str">
        <f>IF($D$18=2,"- - - - - -","")</f>
        <v>- - - - - -</v>
      </c>
      <c r="I19" s="73"/>
      <c r="J19" s="16" t="str">
        <f>F19</f>
        <v xml:space="preserve">- - XX - - </v>
      </c>
      <c r="K19" s="73"/>
      <c r="L19" s="16" t="str">
        <f>H19</f>
        <v>- - - - - -</v>
      </c>
      <c r="M19" s="73"/>
      <c r="N19" s="16" t="str">
        <f>F19</f>
        <v xml:space="preserve">- - XX - - </v>
      </c>
      <c r="O19" s="75"/>
      <c r="P19" s="16" t="str">
        <f>H19</f>
        <v>- - - - - -</v>
      </c>
      <c r="Q19" s="73"/>
      <c r="R19" s="22"/>
      <c r="S19" s="9">
        <v>1</v>
      </c>
      <c r="T19" s="2" t="s">
        <v>9</v>
      </c>
      <c r="U19" s="10">
        <v>10</v>
      </c>
      <c r="V19" s="11">
        <v>1</v>
      </c>
      <c r="W19" s="11">
        <v>2</v>
      </c>
      <c r="X19" s="11">
        <v>0</v>
      </c>
      <c r="Y19" s="11">
        <v>0</v>
      </c>
    </row>
    <row r="20" spans="1:25" ht="13.5" thickBot="1" x14ac:dyDescent="0.25">
      <c r="A20" s="30"/>
      <c r="B20" s="199">
        <v>9</v>
      </c>
      <c r="C20" s="26"/>
      <c r="D20" s="34" t="s">
        <v>25</v>
      </c>
      <c r="E20" s="80"/>
      <c r="F20" s="16"/>
      <c r="G20" s="73"/>
      <c r="H20" s="16"/>
      <c r="I20" s="73"/>
      <c r="J20" s="16"/>
      <c r="K20" s="73"/>
      <c r="L20" s="16"/>
      <c r="M20" s="73"/>
      <c r="N20" s="16"/>
      <c r="O20" s="75"/>
      <c r="P20" s="16"/>
      <c r="Q20" s="73"/>
      <c r="R20" s="22"/>
      <c r="S20" s="9">
        <f>U19+0.5</f>
        <v>10.5</v>
      </c>
      <c r="T20" s="2" t="s">
        <v>9</v>
      </c>
      <c r="U20" s="10">
        <v>18</v>
      </c>
      <c r="V20" s="11">
        <v>1</v>
      </c>
      <c r="W20" s="11">
        <v>3</v>
      </c>
      <c r="X20" s="11">
        <v>0</v>
      </c>
      <c r="Y20" s="11">
        <v>0</v>
      </c>
    </row>
    <row r="21" spans="1:25" ht="13.5" thickBot="1" x14ac:dyDescent="0.25">
      <c r="A21" s="30"/>
      <c r="B21" s="22"/>
      <c r="C21" s="26"/>
      <c r="D21" s="68">
        <f>IF(B23=1,"│  ",(B16-SUM(D24:D26,D32:D36,D16:D18))/B23)</f>
        <v>12</v>
      </c>
      <c r="E21" s="78"/>
      <c r="F21" s="16"/>
      <c r="G21" s="73"/>
      <c r="H21" s="16"/>
      <c r="I21" s="73"/>
      <c r="J21" s="16"/>
      <c r="K21" s="73"/>
      <c r="L21" s="16"/>
      <c r="M21" s="73"/>
      <c r="N21" s="16"/>
      <c r="O21" s="75"/>
      <c r="P21" s="16"/>
      <c r="Q21" s="86"/>
      <c r="R21" s="22"/>
      <c r="S21" s="9">
        <f t="shared" ref="S21:S24" si="0">U20+0.5</f>
        <v>18.5</v>
      </c>
      <c r="T21" s="2" t="s">
        <v>9</v>
      </c>
      <c r="U21" s="10">
        <v>22</v>
      </c>
      <c r="V21" s="11">
        <v>2</v>
      </c>
      <c r="W21" s="11">
        <v>2</v>
      </c>
      <c r="X21" s="11">
        <v>2</v>
      </c>
      <c r="Y21" s="11">
        <v>0</v>
      </c>
    </row>
    <row r="22" spans="1:25" x14ac:dyDescent="0.2">
      <c r="A22" s="30"/>
      <c r="B22" s="28" t="s">
        <v>1</v>
      </c>
      <c r="C22" s="26"/>
      <c r="D22" s="34" t="s">
        <v>25</v>
      </c>
      <c r="E22" s="80"/>
      <c r="F22" s="16"/>
      <c r="G22" s="73"/>
      <c r="H22" s="16"/>
      <c r="I22" s="74" t="str">
        <f>IF(B23="Contact Berger", "Contact Berger","")</f>
        <v/>
      </c>
      <c r="J22" s="16"/>
      <c r="K22" s="73"/>
      <c r="L22" s="16"/>
      <c r="M22" s="73"/>
      <c r="N22" s="16"/>
      <c r="O22" s="75"/>
      <c r="P22" s="16"/>
      <c r="Q22" s="86"/>
      <c r="R22" s="22"/>
      <c r="S22" s="9">
        <v>18.5</v>
      </c>
      <c r="T22" s="2" t="s">
        <v>9</v>
      </c>
      <c r="U22" s="10">
        <v>26</v>
      </c>
      <c r="V22" s="11">
        <v>2</v>
      </c>
      <c r="W22" s="11">
        <v>3</v>
      </c>
      <c r="X22" s="11">
        <v>2</v>
      </c>
      <c r="Y22" s="11">
        <v>0</v>
      </c>
    </row>
    <row r="23" spans="1:25" ht="13.5" thickBot="1" x14ac:dyDescent="0.25">
      <c r="A23" s="30"/>
      <c r="B23" s="60">
        <f>VLOOKUP(B16,S19:Y25,4)</f>
        <v>3</v>
      </c>
      <c r="C23" s="26"/>
      <c r="D23" s="69" t="str">
        <f>IF(AND($B$25&gt;0,$B$27&gt;2),"┼─","│  ")</f>
        <v>┼─</v>
      </c>
      <c r="E23" s="79"/>
      <c r="F23" s="16" t="str">
        <f>IF($D$24=2,"- - - - - -","")</f>
        <v>- - - - - -</v>
      </c>
      <c r="G23" s="73"/>
      <c r="H23" s="16" t="str">
        <f>IF(AND($B$25=3,$B$27=3),"- - XX - -","")</f>
        <v>- - XX - -</v>
      </c>
      <c r="I23" s="75"/>
      <c r="J23" s="16" t="str">
        <f>F23</f>
        <v>- - - - - -</v>
      </c>
      <c r="K23" s="73"/>
      <c r="L23" s="16" t="str">
        <f>H23</f>
        <v>- - XX - -</v>
      </c>
      <c r="M23" s="73"/>
      <c r="N23" s="16" t="str">
        <f>F23</f>
        <v>- - - - - -</v>
      </c>
      <c r="O23" s="75"/>
      <c r="P23" s="16" t="str">
        <f>H23</f>
        <v>- - XX - -</v>
      </c>
      <c r="Q23" s="86"/>
      <c r="R23" s="22"/>
      <c r="S23" s="9">
        <f t="shared" si="0"/>
        <v>26.5</v>
      </c>
      <c r="T23" s="2" t="s">
        <v>9</v>
      </c>
      <c r="U23" s="10">
        <v>37</v>
      </c>
      <c r="V23" s="11">
        <v>2</v>
      </c>
      <c r="W23" s="11">
        <v>3</v>
      </c>
      <c r="X23" s="11">
        <v>3</v>
      </c>
      <c r="Y23" s="11">
        <v>0</v>
      </c>
    </row>
    <row r="24" spans="1:25" x14ac:dyDescent="0.2">
      <c r="A24" s="30"/>
      <c r="B24" s="32" t="s">
        <v>12</v>
      </c>
      <c r="C24" s="26"/>
      <c r="D24" s="68">
        <f>IF(AND($B$25&gt;0,$B$27&gt;2),2,"│  ")</f>
        <v>2</v>
      </c>
      <c r="E24" s="78"/>
      <c r="F24" s="16"/>
      <c r="G24" s="73"/>
      <c r="H24" s="16"/>
      <c r="I24" s="73"/>
      <c r="J24" s="16"/>
      <c r="K24" s="73"/>
      <c r="L24" s="16"/>
      <c r="M24" s="73"/>
      <c r="N24" s="16"/>
      <c r="O24" s="75"/>
      <c r="P24" s="16"/>
      <c r="Q24" s="73"/>
      <c r="R24" s="22"/>
      <c r="S24" s="9">
        <f t="shared" si="0"/>
        <v>37.5</v>
      </c>
      <c r="T24" s="2" t="s">
        <v>9</v>
      </c>
      <c r="U24" s="10">
        <v>50</v>
      </c>
      <c r="V24" s="11">
        <v>3</v>
      </c>
      <c r="W24" s="11">
        <v>3</v>
      </c>
      <c r="X24" s="11">
        <v>3</v>
      </c>
      <c r="Y24" s="11">
        <v>3</v>
      </c>
    </row>
    <row r="25" spans="1:25" x14ac:dyDescent="0.2">
      <c r="A25" s="30"/>
      <c r="B25" s="32">
        <f>VLOOKUP(B16,S19:Y25,5)</f>
        <v>3</v>
      </c>
      <c r="C25" s="26"/>
      <c r="D25" s="68" t="str">
        <f>IF(AND($B$25&gt;0,$B$27&gt;0),"┼─","│  ")</f>
        <v>┼─</v>
      </c>
      <c r="E25" s="78"/>
      <c r="F25" s="16" t="str">
        <f>IF(AND($B$25=3,$B$27&gt;0),"- - XX - -","")</f>
        <v>- - XX - -</v>
      </c>
      <c r="G25" s="73"/>
      <c r="H25" s="16" t="str">
        <f>F27</f>
        <v>- - - - - -</v>
      </c>
      <c r="I25" s="73"/>
      <c r="J25" s="16" t="str">
        <f>F25</f>
        <v>- - XX - -</v>
      </c>
      <c r="K25" s="73"/>
      <c r="L25" s="16" t="str">
        <f>H25</f>
        <v>- - - - - -</v>
      </c>
      <c r="M25" s="73"/>
      <c r="N25" s="16" t="str">
        <f>F25</f>
        <v>- - XX - -</v>
      </c>
      <c r="O25" s="75"/>
      <c r="P25" s="16" t="str">
        <f>H25</f>
        <v>- - - - - -</v>
      </c>
      <c r="Q25" s="86"/>
      <c r="R25" s="22"/>
      <c r="S25" s="9">
        <v>50.5</v>
      </c>
      <c r="T25" s="2" t="s">
        <v>9</v>
      </c>
      <c r="U25" s="10">
        <v>100</v>
      </c>
      <c r="V25" s="10" t="s">
        <v>10</v>
      </c>
      <c r="W25" s="10" t="s">
        <v>10</v>
      </c>
      <c r="X25" s="10" t="s">
        <v>10</v>
      </c>
      <c r="Y25" s="10" t="s">
        <v>10</v>
      </c>
    </row>
    <row r="26" spans="1:25" x14ac:dyDescent="0.2">
      <c r="A26" s="30"/>
      <c r="B26" s="33" t="s">
        <v>11</v>
      </c>
      <c r="C26" s="26"/>
      <c r="D26" s="68">
        <f>IF(AND($B$25&gt;0,$B$27&gt;0),2,"│  ")</f>
        <v>2</v>
      </c>
      <c r="E26" s="78"/>
      <c r="F26" s="16"/>
      <c r="G26" s="73"/>
      <c r="H26" s="16"/>
      <c r="I26" s="73"/>
      <c r="J26" s="16"/>
      <c r="K26" s="73"/>
      <c r="L26" s="16"/>
      <c r="M26" s="73"/>
      <c r="N26" s="16"/>
      <c r="O26" s="75"/>
      <c r="P26" s="16"/>
      <c r="Q26" s="73"/>
      <c r="R26" s="22"/>
      <c r="S26" s="1"/>
      <c r="T26" s="1"/>
      <c r="U26" s="8"/>
      <c r="V26" s="8"/>
      <c r="W26" s="8"/>
      <c r="X26" s="8"/>
    </row>
    <row r="27" spans="1:25" x14ac:dyDescent="0.2">
      <c r="A27" s="30"/>
      <c r="B27" s="61">
        <f>VLOOKUP(B16,S19:Y25,6)</f>
        <v>3</v>
      </c>
      <c r="C27" s="26"/>
      <c r="D27" s="69" t="str">
        <f>IF(AND($B$25&gt;0,$B$27&gt;0),"┼─","│  ")</f>
        <v>┼─</v>
      </c>
      <c r="E27" s="79"/>
      <c r="F27" s="16" t="str">
        <f>IF($D$26=2,"- - - - - -","")</f>
        <v>- - - - - -</v>
      </c>
      <c r="G27" s="73"/>
      <c r="H27" s="16" t="str">
        <f>IF(AND($B$25=3,$B$27&gt;0),"- - XX - -","")</f>
        <v>- - XX - -</v>
      </c>
      <c r="I27" s="73"/>
      <c r="J27" s="16" t="str">
        <f>F27</f>
        <v>- - - - - -</v>
      </c>
      <c r="K27" s="73"/>
      <c r="L27" s="16" t="str">
        <f>H27</f>
        <v>- - XX - -</v>
      </c>
      <c r="M27" s="73"/>
      <c r="N27" s="16" t="str">
        <f>F27</f>
        <v>- - - - - -</v>
      </c>
      <c r="O27" s="75"/>
      <c r="P27" s="16" t="str">
        <f>H27</f>
        <v>- - XX - -</v>
      </c>
      <c r="Q27" s="73"/>
      <c r="R27" s="22"/>
      <c r="S27" s="1"/>
      <c r="T27" s="1"/>
      <c r="U27" s="1"/>
      <c r="V27" s="2" t="s">
        <v>14</v>
      </c>
      <c r="W27" s="1">
        <f>B18/(B20/12)/2</f>
        <v>20</v>
      </c>
      <c r="X27" s="1"/>
    </row>
    <row r="28" spans="1:25" x14ac:dyDescent="0.2">
      <c r="A28" s="30"/>
      <c r="B28" s="33" t="s">
        <v>26</v>
      </c>
      <c r="C28" s="26"/>
      <c r="D28" s="34" t="s">
        <v>25</v>
      </c>
      <c r="E28" s="80"/>
      <c r="F28" s="16"/>
      <c r="G28" s="73"/>
      <c r="H28" s="16"/>
      <c r="I28" s="73"/>
      <c r="J28" s="16"/>
      <c r="K28" s="73"/>
      <c r="L28" s="16"/>
      <c r="M28" s="73"/>
      <c r="N28" s="16"/>
      <c r="O28" s="75"/>
      <c r="P28" s="16"/>
      <c r="Q28" s="73"/>
      <c r="R28" s="22"/>
      <c r="S28" s="7"/>
      <c r="T28" s="7"/>
      <c r="U28" s="7"/>
      <c r="V28" s="7"/>
      <c r="W28" s="7"/>
      <c r="X28" s="7"/>
    </row>
    <row r="29" spans="1:25" ht="13.5" thickBot="1" x14ac:dyDescent="0.25">
      <c r="A29" s="30"/>
      <c r="B29" s="60">
        <f>VLOOKUP(B16,S19:Y25,7)</f>
        <v>3</v>
      </c>
      <c r="C29" s="26"/>
      <c r="D29" s="68">
        <f>IF(B23=1,B16-SUM(D32:D36),(B16-SUM(D24:D26,D32:D36,D16:D18))/B23)</f>
        <v>12</v>
      </c>
      <c r="E29" s="78"/>
      <c r="F29" s="16"/>
      <c r="G29" s="73"/>
      <c r="H29" s="16"/>
      <c r="I29" s="73"/>
      <c r="J29" s="16"/>
      <c r="K29" s="73"/>
      <c r="L29" s="16"/>
      <c r="M29" s="73"/>
      <c r="N29" s="16"/>
      <c r="O29" s="75"/>
      <c r="P29" s="16"/>
      <c r="Q29" s="73"/>
      <c r="R29" s="22"/>
      <c r="S29" s="1"/>
      <c r="T29" s="1"/>
      <c r="U29" s="1"/>
      <c r="V29" s="1"/>
      <c r="W29" s="1"/>
      <c r="X29" s="1"/>
    </row>
    <row r="30" spans="1:25" ht="13.5" thickBot="1" x14ac:dyDescent="0.25">
      <c r="A30" s="30"/>
      <c r="B30" s="22"/>
      <c r="C30" s="26"/>
      <c r="D30" s="34" t="s">
        <v>25</v>
      </c>
      <c r="E30" s="81"/>
      <c r="F30" s="16"/>
      <c r="G30" s="73"/>
      <c r="H30" s="16"/>
      <c r="I30" s="73"/>
      <c r="J30" s="16"/>
      <c r="K30" s="73"/>
      <c r="L30" s="16"/>
      <c r="M30" s="73"/>
      <c r="N30" s="16"/>
      <c r="O30" s="75"/>
      <c r="P30" s="16"/>
      <c r="Q30" s="73"/>
      <c r="R30" s="22"/>
      <c r="S30" s="7"/>
      <c r="T30" s="7"/>
      <c r="U30" s="7"/>
      <c r="V30" s="7"/>
      <c r="W30" s="7"/>
      <c r="X30" s="7"/>
    </row>
    <row r="31" spans="1:25" x14ac:dyDescent="0.2">
      <c r="A31" s="30"/>
      <c r="B31" s="28" t="s">
        <v>18</v>
      </c>
      <c r="C31" s="26"/>
      <c r="D31" s="69" t="str">
        <f>IF($B$25=3,"┼─","│  ")</f>
        <v>┼─</v>
      </c>
      <c r="E31" s="82"/>
      <c r="F31" s="16" t="str">
        <f>IF($B$25=3,"- - XX - -","")</f>
        <v>- - XX - -</v>
      </c>
      <c r="G31" s="73"/>
      <c r="H31" s="16" t="str">
        <f>IF(D32=2," - - - - - -","")</f>
        <v xml:space="preserve"> - - - - - -</v>
      </c>
      <c r="I31" s="73"/>
      <c r="J31" s="16" t="str">
        <f>F31</f>
        <v>- - XX - -</v>
      </c>
      <c r="K31" s="73"/>
      <c r="L31" s="16" t="str">
        <f>H31</f>
        <v xml:space="preserve"> - - - - - -</v>
      </c>
      <c r="M31" s="73"/>
      <c r="N31" s="16" t="str">
        <f>F31</f>
        <v>- - XX - -</v>
      </c>
      <c r="O31" s="75"/>
      <c r="P31" s="16" t="str">
        <f>H31</f>
        <v xml:space="preserve"> - - - - - -</v>
      </c>
      <c r="Q31" s="73"/>
      <c r="R31" s="22"/>
      <c r="S31" s="1"/>
      <c r="T31" s="1"/>
      <c r="U31" s="1"/>
      <c r="V31" s="1"/>
      <c r="W31" s="1"/>
      <c r="X31" s="1"/>
    </row>
    <row r="32" spans="1:25" ht="13.5" thickBot="1" x14ac:dyDescent="0.25">
      <c r="A32" s="30"/>
      <c r="B32" s="36">
        <f>ROUNDUP(W27*(B25+B27+B29),0)</f>
        <v>180</v>
      </c>
      <c r="C32" s="26"/>
      <c r="D32" s="68">
        <f>IF($B$25=3,2,"│  ")</f>
        <v>2</v>
      </c>
      <c r="E32" s="78"/>
      <c r="F32" s="16"/>
      <c r="G32" s="73"/>
      <c r="H32" s="16"/>
      <c r="I32" s="73"/>
      <c r="J32" s="16"/>
      <c r="K32" s="73"/>
      <c r="L32" s="16"/>
      <c r="M32" s="73"/>
      <c r="N32" s="16"/>
      <c r="O32" s="75"/>
      <c r="P32" s="16"/>
      <c r="Q32" s="73"/>
      <c r="R32" s="22"/>
      <c r="S32" s="7"/>
      <c r="T32" s="7"/>
      <c r="U32" s="7"/>
      <c r="V32" s="7"/>
      <c r="W32" s="7"/>
      <c r="X32" s="7"/>
    </row>
    <row r="33" spans="1:24" x14ac:dyDescent="0.2">
      <c r="A33" s="30"/>
      <c r="B33" s="28" t="s">
        <v>2</v>
      </c>
      <c r="C33" s="26"/>
      <c r="D33" s="34" t="s">
        <v>22</v>
      </c>
      <c r="E33" s="83"/>
      <c r="F33" s="16" t="str">
        <f>IF($B$16&gt;1,"- -  - - - -","")</f>
        <v>- -  - - - -</v>
      </c>
      <c r="G33" s="73"/>
      <c r="H33" s="16" t="str">
        <f>IF(OR($B$25=2,$B$25=3),"- - XX - -","")</f>
        <v>- - XX - -</v>
      </c>
      <c r="I33" s="73"/>
      <c r="J33" s="16" t="str">
        <f>F33</f>
        <v>- -  - - - -</v>
      </c>
      <c r="K33" s="73"/>
      <c r="L33" s="16" t="str">
        <f>H33</f>
        <v>- - XX - -</v>
      </c>
      <c r="M33" s="73"/>
      <c r="N33" s="16" t="str">
        <f>F33</f>
        <v>- -  - - - -</v>
      </c>
      <c r="O33" s="75"/>
      <c r="P33" s="16" t="str">
        <f>H33</f>
        <v>- - XX - -</v>
      </c>
      <c r="Q33" s="73"/>
      <c r="R33" s="22"/>
      <c r="S33" s="3"/>
      <c r="T33" s="3"/>
      <c r="U33" s="3"/>
      <c r="V33" s="3"/>
      <c r="W33" s="3"/>
      <c r="X33" s="3"/>
    </row>
    <row r="34" spans="1:24" ht="13.5" thickBot="1" x14ac:dyDescent="0.25">
      <c r="A34" s="22"/>
      <c r="B34" s="62">
        <f>B16*B18/100</f>
        <v>15</v>
      </c>
      <c r="C34" s="22"/>
      <c r="D34" s="68">
        <v>2</v>
      </c>
      <c r="E34" s="78"/>
      <c r="F34" s="16"/>
      <c r="G34" s="73"/>
      <c r="H34" s="16"/>
      <c r="I34" s="73"/>
      <c r="J34" s="16"/>
      <c r="K34" s="73"/>
      <c r="L34" s="16"/>
      <c r="M34" s="73"/>
      <c r="N34" s="16"/>
      <c r="O34" s="75"/>
      <c r="P34" s="16"/>
      <c r="Q34" s="73"/>
      <c r="R34" s="22"/>
    </row>
    <row r="35" spans="1:24" x14ac:dyDescent="0.2">
      <c r="A35" s="22"/>
      <c r="B35" s="31" t="s">
        <v>3</v>
      </c>
      <c r="C35" s="22"/>
      <c r="D35" s="34" t="s">
        <v>22</v>
      </c>
      <c r="E35" s="80"/>
      <c r="F35" s="16" t="str">
        <f>IF(OR($B$25=2,$B$25=3)," - - XX - - ","")</f>
        <v xml:space="preserve"> - - XX - - </v>
      </c>
      <c r="G35" s="73"/>
      <c r="H35" s="16" t="str">
        <f>F33</f>
        <v>- -  - - - -</v>
      </c>
      <c r="I35" s="73"/>
      <c r="J35" s="16" t="str">
        <f>F35</f>
        <v xml:space="preserve"> - - XX - - </v>
      </c>
      <c r="K35" s="73"/>
      <c r="L35" s="16" t="str">
        <f>J33</f>
        <v>- -  - - - -</v>
      </c>
      <c r="M35" s="73"/>
      <c r="N35" s="16" t="str">
        <f>F35</f>
        <v xml:space="preserve"> - - XX - - </v>
      </c>
      <c r="O35" s="75"/>
      <c r="P35" s="16" t="str">
        <f>N33</f>
        <v>- -  - - - -</v>
      </c>
      <c r="Q35" s="73"/>
      <c r="R35" s="22"/>
      <c r="S35" s="2"/>
      <c r="T35" s="2"/>
      <c r="U35" s="2"/>
      <c r="V35" s="2"/>
      <c r="W35" s="2"/>
      <c r="X35" s="2"/>
    </row>
    <row r="36" spans="1:24" ht="13.5" thickBot="1" x14ac:dyDescent="0.25">
      <c r="A36" s="22"/>
      <c r="B36" s="64">
        <f>ROUNDUP(B32/B34,0)</f>
        <v>12</v>
      </c>
      <c r="C36" s="22"/>
      <c r="D36" s="68">
        <v>2</v>
      </c>
      <c r="E36" s="78"/>
      <c r="F36" s="16"/>
      <c r="G36" s="73"/>
      <c r="H36" s="16"/>
      <c r="I36" s="73"/>
      <c r="J36" s="16"/>
      <c r="K36" s="73"/>
      <c r="L36" s="16"/>
      <c r="M36" s="73"/>
      <c r="N36" s="16"/>
      <c r="O36" s="73"/>
      <c r="P36" s="16"/>
      <c r="Q36" s="73"/>
      <c r="R36" s="22"/>
      <c r="S36" s="1"/>
      <c r="T36" s="1"/>
      <c r="U36" s="1"/>
      <c r="V36" s="1"/>
      <c r="W36" s="1"/>
      <c r="X36" s="1"/>
    </row>
    <row r="37" spans="1:24" ht="13.5" thickBot="1" x14ac:dyDescent="0.25">
      <c r="A37" s="22"/>
      <c r="B37" s="22"/>
      <c r="C37" s="22"/>
      <c r="D37" s="34" t="s">
        <v>24</v>
      </c>
      <c r="E37" s="84"/>
      <c r="F37" s="17"/>
      <c r="G37" s="76"/>
      <c r="H37" s="17"/>
      <c r="I37" s="76"/>
      <c r="J37" s="17"/>
      <c r="K37" s="76"/>
      <c r="L37" s="17"/>
      <c r="M37" s="76"/>
      <c r="N37" s="17"/>
      <c r="O37" s="76"/>
      <c r="P37" s="17"/>
      <c r="Q37" s="76"/>
      <c r="R37" s="22"/>
    </row>
    <row r="38" spans="1:24" x14ac:dyDescent="0.2">
      <c r="A38" s="22"/>
      <c r="B38" s="22"/>
      <c r="C38" s="22"/>
      <c r="D38" s="26"/>
      <c r="E38" s="26"/>
      <c r="F38" s="70">
        <f>$B$20</f>
        <v>9</v>
      </c>
      <c r="G38" s="70" t="s">
        <v>21</v>
      </c>
      <c r="H38" s="70">
        <f t="shared" ref="H38:P38" si="1">$B$20</f>
        <v>9</v>
      </c>
      <c r="I38" s="70" t="s">
        <v>21</v>
      </c>
      <c r="J38" s="70">
        <f t="shared" si="1"/>
        <v>9</v>
      </c>
      <c r="K38" s="70" t="s">
        <v>21</v>
      </c>
      <c r="L38" s="70">
        <f t="shared" si="1"/>
        <v>9</v>
      </c>
      <c r="M38" s="70" t="s">
        <v>21</v>
      </c>
      <c r="N38" s="70">
        <f t="shared" si="1"/>
        <v>9</v>
      </c>
      <c r="O38" s="70" t="s">
        <v>21</v>
      </c>
      <c r="P38" s="70">
        <f t="shared" si="1"/>
        <v>9</v>
      </c>
      <c r="Q38" s="71" t="s">
        <v>30</v>
      </c>
      <c r="R38" s="22"/>
    </row>
    <row r="39" spans="1:24" x14ac:dyDescent="0.2">
      <c r="A39" s="22"/>
      <c r="B39" s="22"/>
      <c r="C39" s="22"/>
      <c r="D39" s="22"/>
      <c r="E39" s="22"/>
      <c r="F39" s="26"/>
      <c r="G39" s="26"/>
      <c r="H39" s="26"/>
      <c r="I39" s="26"/>
      <c r="J39" s="22"/>
      <c r="K39" s="26"/>
      <c r="L39" s="39"/>
      <c r="M39" s="26"/>
      <c r="N39" s="22"/>
      <c r="O39" s="26"/>
      <c r="P39" s="22"/>
      <c r="Q39" s="22"/>
      <c r="R39" s="22"/>
    </row>
    <row r="40" spans="1:24" x14ac:dyDescent="0.2">
      <c r="A40" s="22"/>
      <c r="B40" s="22"/>
      <c r="C40" s="22"/>
      <c r="D40" s="22"/>
      <c r="E40" s="22"/>
      <c r="F40" s="23"/>
      <c r="G40" s="22"/>
      <c r="H40" s="22"/>
      <c r="I40" s="22"/>
      <c r="J40" s="22"/>
      <c r="K40" s="24" t="s">
        <v>0</v>
      </c>
      <c r="L40" s="22"/>
      <c r="M40" s="22"/>
      <c r="N40" s="22"/>
      <c r="O40" s="22"/>
      <c r="P40" s="22"/>
      <c r="Q40" s="22"/>
      <c r="R40" s="22"/>
    </row>
    <row r="41" spans="1:24" x14ac:dyDescent="0.2">
      <c r="A41" s="22"/>
      <c r="B41" s="22"/>
      <c r="C41" s="22"/>
      <c r="D41" s="22"/>
      <c r="E41" s="22"/>
      <c r="F41" s="22"/>
      <c r="G41" s="22"/>
      <c r="H41" s="22"/>
      <c r="I41" s="22"/>
      <c r="J41" s="22"/>
      <c r="K41" s="22"/>
      <c r="L41" s="22"/>
      <c r="M41" s="22"/>
      <c r="N41" s="22"/>
      <c r="O41" s="22"/>
      <c r="P41" s="22"/>
      <c r="Q41" s="22"/>
      <c r="R41" s="22"/>
    </row>
    <row r="42" spans="1:24" x14ac:dyDescent="0.2">
      <c r="A42" s="22"/>
      <c r="B42" s="22"/>
      <c r="C42" s="22"/>
      <c r="D42" s="22"/>
      <c r="E42" s="22"/>
      <c r="F42" s="22"/>
      <c r="G42" s="22"/>
      <c r="H42" s="22"/>
      <c r="I42" s="22"/>
      <c r="J42" s="22"/>
      <c r="K42" s="22"/>
      <c r="L42" s="22"/>
      <c r="M42" s="22"/>
      <c r="N42" s="22"/>
      <c r="O42" s="22"/>
      <c r="P42" s="22"/>
      <c r="Q42" s="22"/>
      <c r="R42" s="22"/>
    </row>
    <row r="43" spans="1:24" ht="95.45" customHeight="1" x14ac:dyDescent="0.2">
      <c r="A43" s="22"/>
      <c r="B43" s="208" t="s">
        <v>70</v>
      </c>
      <c r="C43" s="209"/>
      <c r="D43" s="209"/>
      <c r="E43" s="209"/>
      <c r="F43" s="209"/>
      <c r="G43" s="209"/>
      <c r="H43" s="209"/>
      <c r="I43" s="209"/>
      <c r="J43" s="209"/>
      <c r="K43" s="209"/>
      <c r="L43" s="209"/>
      <c r="M43" s="209"/>
      <c r="N43" s="209"/>
      <c r="O43" s="209"/>
      <c r="P43" s="209"/>
      <c r="Q43" s="22"/>
      <c r="R43" s="22"/>
    </row>
    <row r="44" spans="1:24" x14ac:dyDescent="0.2">
      <c r="A44" s="22"/>
      <c r="B44" s="22"/>
      <c r="C44" s="22"/>
      <c r="D44" s="22"/>
      <c r="E44" s="22"/>
      <c r="F44" s="22"/>
      <c r="G44" s="22"/>
      <c r="H44" s="22"/>
      <c r="I44" s="22"/>
      <c r="J44" s="22"/>
      <c r="K44" s="22"/>
      <c r="L44" s="22"/>
      <c r="M44" s="22"/>
      <c r="N44" s="22"/>
      <c r="O44" s="22"/>
      <c r="P44" s="22"/>
      <c r="Q44" s="22"/>
      <c r="R44" s="22"/>
    </row>
    <row r="45" spans="1:24" x14ac:dyDescent="0.2">
      <c r="A45" s="22"/>
      <c r="B45" s="22"/>
      <c r="C45" s="22"/>
      <c r="D45" s="22"/>
      <c r="E45" s="22"/>
      <c r="F45" s="22"/>
      <c r="G45" s="22"/>
      <c r="H45" s="22"/>
      <c r="I45" s="22"/>
      <c r="J45" s="22"/>
      <c r="K45" s="22"/>
      <c r="L45" s="22"/>
      <c r="M45" s="22"/>
      <c r="N45" s="22"/>
      <c r="O45" s="22"/>
      <c r="P45" s="22"/>
      <c r="Q45" s="22"/>
      <c r="R45" s="22"/>
    </row>
    <row r="46" spans="1:24" x14ac:dyDescent="0.2">
      <c r="A46" s="22"/>
      <c r="B46" s="22"/>
      <c r="C46" s="22"/>
      <c r="D46" s="22"/>
      <c r="E46" s="22"/>
      <c r="F46" s="22"/>
      <c r="G46" s="22"/>
      <c r="H46" s="22"/>
      <c r="I46" s="22"/>
      <c r="J46" s="22"/>
      <c r="K46" s="22"/>
      <c r="L46" s="22"/>
      <c r="M46" s="22"/>
      <c r="N46" s="22"/>
      <c r="O46" s="22"/>
      <c r="P46" s="22"/>
      <c r="Q46" s="22"/>
      <c r="R46" s="22"/>
    </row>
    <row r="47" spans="1:24" x14ac:dyDescent="0.2">
      <c r="A47" s="22"/>
      <c r="B47" s="22"/>
      <c r="C47" s="22"/>
      <c r="D47" s="22"/>
      <c r="E47" s="22"/>
      <c r="F47" s="22"/>
      <c r="G47" s="22"/>
      <c r="H47" s="22"/>
      <c r="I47" s="22"/>
      <c r="J47" s="22"/>
      <c r="K47" s="22"/>
      <c r="L47" s="22"/>
      <c r="M47" s="22"/>
      <c r="N47" s="22"/>
      <c r="O47" s="22"/>
      <c r="P47" s="22"/>
      <c r="Q47" s="22"/>
      <c r="R47" s="22"/>
    </row>
    <row r="48" spans="1:24" x14ac:dyDescent="0.2">
      <c r="A48" s="22"/>
      <c r="B48" s="22"/>
      <c r="C48" s="22"/>
      <c r="D48" s="22"/>
      <c r="E48" s="22"/>
      <c r="F48" s="22"/>
      <c r="G48" s="22"/>
      <c r="H48" s="22"/>
      <c r="I48" s="22"/>
      <c r="J48" s="22"/>
      <c r="K48" s="22"/>
      <c r="L48" s="22"/>
      <c r="M48" s="22"/>
      <c r="N48" s="22"/>
      <c r="O48" s="22"/>
      <c r="P48" s="22"/>
      <c r="Q48" s="22"/>
      <c r="R48" s="22"/>
    </row>
    <row r="49" spans="1:18" x14ac:dyDescent="0.2">
      <c r="A49" s="22"/>
      <c r="B49" s="22"/>
      <c r="C49" s="22"/>
      <c r="D49" s="22"/>
      <c r="E49" s="22"/>
      <c r="F49" s="22"/>
      <c r="G49" s="22"/>
      <c r="H49" s="22"/>
      <c r="I49" s="22"/>
      <c r="J49" s="22"/>
      <c r="K49" s="22"/>
      <c r="L49" s="22"/>
      <c r="M49" s="22"/>
      <c r="N49" s="22"/>
      <c r="O49" s="22"/>
      <c r="P49" s="22"/>
      <c r="Q49" s="22"/>
      <c r="R49" s="22"/>
    </row>
  </sheetData>
  <sheetProtection algorithmName="SHA-512" hashValue="a34CuVthal8UCt1Egrf0hsM+HH4B6idC6zTGZY5SFNJqRaQ9lm6cefy5UnVkQRgdJsH8nDEjQLnGJdaimCOJMw==" saltValue="iEWMtl2l+7DPxblbYmwrQw==" spinCount="100000" sheet="1" objects="1" scenarios="1" selectLockedCells="1"/>
  <mergeCells count="1">
    <mergeCell ref="B43:P43"/>
  </mergeCells>
  <pageMargins left="0.75" right="0.75" top="1" bottom="1" header="0.5" footer="0.5"/>
  <pageSetup scale="70" orientation="portrait" blackAndWhite="1" r:id="rId1"/>
  <headerFooter alignWithMargins="0">
    <oddHeader>&amp;LSnow Guard Calculator&amp;R&amp;D</oddHeader>
  </headerFooter>
  <ignoredErrors>
    <ignoredError sqref="D18 D26 D1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50"/>
  <sheetViews>
    <sheetView view="pageBreakPreview" zoomScale="60" zoomScaleNormal="65" workbookViewId="0">
      <selection activeCell="B5" sqref="B5"/>
    </sheetView>
  </sheetViews>
  <sheetFormatPr defaultRowHeight="12.75" x14ac:dyDescent="0.2"/>
  <cols>
    <col min="1" max="1" width="12.5703125" customWidth="1"/>
    <col min="2" max="2" width="9.28515625" bestFit="1" customWidth="1"/>
    <col min="6" max="6" width="3.7109375" customWidth="1"/>
    <col min="8" max="8" width="3.7109375" customWidth="1"/>
    <col min="10" max="10" width="3.7109375" customWidth="1"/>
    <col min="12" max="12" width="3.7109375" customWidth="1"/>
    <col min="14" max="14" width="3.7109375" customWidth="1"/>
    <col min="16" max="16" width="3.7109375" customWidth="1"/>
  </cols>
  <sheetData>
    <row r="1" spans="1:18" x14ac:dyDescent="0.2">
      <c r="A1" s="22"/>
      <c r="B1" s="22"/>
      <c r="C1" s="22"/>
      <c r="D1" s="22"/>
      <c r="E1" s="22"/>
      <c r="F1" s="22"/>
      <c r="G1" s="22"/>
      <c r="H1" s="22"/>
      <c r="I1" s="22"/>
      <c r="J1" s="22"/>
      <c r="K1" s="22"/>
      <c r="L1" s="22"/>
      <c r="M1" s="22"/>
      <c r="N1" s="22"/>
      <c r="O1" s="22"/>
      <c r="P1" s="22"/>
      <c r="Q1" s="22"/>
      <c r="R1" s="22"/>
    </row>
    <row r="2" spans="1:18" x14ac:dyDescent="0.2">
      <c r="A2" s="22"/>
      <c r="B2" s="22"/>
      <c r="C2" s="22"/>
      <c r="D2" s="22"/>
      <c r="E2" s="22"/>
      <c r="F2" s="22"/>
      <c r="G2" s="22"/>
      <c r="H2" s="22"/>
      <c r="I2" s="22"/>
      <c r="J2" s="22"/>
      <c r="K2" s="22"/>
      <c r="L2" s="22"/>
      <c r="M2" s="22"/>
      <c r="N2" s="22"/>
      <c r="O2" s="22"/>
      <c r="P2" s="22"/>
      <c r="Q2" s="22"/>
      <c r="R2" s="22"/>
    </row>
    <row r="3" spans="1:18" x14ac:dyDescent="0.2">
      <c r="A3" s="22"/>
      <c r="B3" s="22"/>
      <c r="C3" s="22"/>
      <c r="D3" s="22"/>
      <c r="E3" s="22"/>
      <c r="F3" s="22"/>
      <c r="G3" s="22"/>
      <c r="H3" s="22"/>
      <c r="I3" s="22"/>
      <c r="J3" s="22"/>
      <c r="K3" s="22"/>
      <c r="L3" s="22"/>
      <c r="M3" s="22"/>
      <c r="N3" s="22"/>
      <c r="O3" s="22"/>
      <c r="P3" s="22"/>
      <c r="Q3" s="22"/>
      <c r="R3" s="22"/>
    </row>
    <row r="4" spans="1:18" x14ac:dyDescent="0.2">
      <c r="A4" s="22"/>
      <c r="B4" s="22"/>
      <c r="C4" s="22"/>
      <c r="D4" s="22"/>
      <c r="E4" s="22"/>
      <c r="F4" s="22"/>
      <c r="G4" s="22"/>
      <c r="H4" s="22"/>
      <c r="I4" s="22"/>
      <c r="J4" s="22"/>
      <c r="K4" s="22"/>
      <c r="L4" s="22"/>
      <c r="M4" s="22"/>
      <c r="N4" s="22"/>
      <c r="O4" s="22"/>
      <c r="P4" s="22"/>
      <c r="Q4" s="22"/>
      <c r="R4" s="22"/>
    </row>
    <row r="5" spans="1:18" x14ac:dyDescent="0.2">
      <c r="A5" s="22" t="s">
        <v>32</v>
      </c>
      <c r="B5" s="191"/>
      <c r="C5" s="22"/>
      <c r="D5" s="22"/>
      <c r="E5" s="22"/>
      <c r="F5" s="22"/>
      <c r="G5" s="22"/>
      <c r="H5" s="22"/>
      <c r="I5" s="22"/>
      <c r="J5" s="22"/>
      <c r="K5" s="22"/>
      <c r="L5" s="22"/>
      <c r="M5" s="22"/>
      <c r="N5" s="22"/>
      <c r="O5" s="22"/>
      <c r="P5" s="22"/>
      <c r="Q5" s="22"/>
      <c r="R5" s="22"/>
    </row>
    <row r="6" spans="1:18" x14ac:dyDescent="0.2">
      <c r="A6" s="22" t="s">
        <v>33</v>
      </c>
      <c r="B6" s="186">
        <f ca="1">TODAY()</f>
        <v>45467</v>
      </c>
      <c r="C6" s="22"/>
      <c r="D6" s="22"/>
      <c r="E6" s="22"/>
      <c r="F6" s="22"/>
      <c r="G6" s="22"/>
      <c r="H6" s="22"/>
      <c r="I6" s="22"/>
      <c r="J6" s="22"/>
      <c r="K6" s="22"/>
      <c r="L6" s="22"/>
      <c r="M6" s="22"/>
      <c r="N6" s="22"/>
      <c r="O6" s="22"/>
      <c r="P6" s="22"/>
      <c r="Q6" s="22"/>
      <c r="R6" s="22"/>
    </row>
    <row r="7" spans="1:18" x14ac:dyDescent="0.2">
      <c r="A7" s="22" t="s">
        <v>34</v>
      </c>
      <c r="B7" s="191"/>
      <c r="C7" s="22"/>
      <c r="D7" s="22"/>
      <c r="E7" s="22"/>
      <c r="F7" s="22"/>
      <c r="G7" s="22"/>
      <c r="H7" s="22"/>
      <c r="I7" s="22"/>
      <c r="J7" s="22"/>
      <c r="K7" s="22"/>
      <c r="L7" s="22"/>
      <c r="M7" s="22"/>
      <c r="N7" s="22"/>
      <c r="O7" s="22"/>
      <c r="P7" s="22"/>
      <c r="Q7" s="22"/>
      <c r="R7" s="22"/>
    </row>
    <row r="8" spans="1:18" x14ac:dyDescent="0.2">
      <c r="A8" s="22"/>
      <c r="B8" s="22"/>
      <c r="C8" s="22"/>
      <c r="D8" s="22"/>
      <c r="E8" s="22"/>
      <c r="F8" s="22"/>
      <c r="G8" s="22"/>
      <c r="H8" s="22"/>
      <c r="I8" s="22"/>
      <c r="J8" s="22"/>
      <c r="K8" s="22"/>
      <c r="L8" s="22"/>
      <c r="M8" s="22"/>
      <c r="N8" s="22"/>
      <c r="O8" s="22"/>
      <c r="P8" s="22"/>
      <c r="Q8" s="22"/>
      <c r="R8" s="22"/>
    </row>
    <row r="9" spans="1:18" x14ac:dyDescent="0.2">
      <c r="A9" s="22"/>
      <c r="B9" s="23" t="s">
        <v>4</v>
      </c>
      <c r="C9" s="22"/>
      <c r="D9" s="22"/>
      <c r="E9" s="22"/>
      <c r="F9" s="22"/>
      <c r="G9" s="22"/>
      <c r="H9" s="22"/>
      <c r="I9" s="22"/>
      <c r="J9" s="22"/>
      <c r="K9" s="22"/>
      <c r="L9" s="22"/>
      <c r="M9" s="22"/>
      <c r="N9" s="22"/>
      <c r="O9" s="22"/>
      <c r="P9" s="22"/>
      <c r="Q9" s="22"/>
      <c r="R9" s="22"/>
    </row>
    <row r="10" spans="1:18" x14ac:dyDescent="0.2">
      <c r="A10" s="22"/>
      <c r="B10" s="23" t="s">
        <v>15</v>
      </c>
      <c r="C10" s="22"/>
      <c r="D10" s="22"/>
      <c r="E10" s="22"/>
      <c r="F10" s="22"/>
      <c r="G10" s="22"/>
      <c r="H10" s="22"/>
      <c r="I10" s="22"/>
      <c r="J10" s="22"/>
      <c r="K10" s="22"/>
      <c r="L10" s="22"/>
      <c r="M10" s="22"/>
      <c r="N10" s="22"/>
      <c r="O10" s="22"/>
      <c r="P10" s="22"/>
      <c r="Q10" s="22"/>
      <c r="R10" s="22"/>
    </row>
    <row r="11" spans="1:18" x14ac:dyDescent="0.2">
      <c r="A11" s="22"/>
      <c r="B11" s="23" t="s">
        <v>35</v>
      </c>
      <c r="C11" s="22"/>
      <c r="D11" s="22"/>
      <c r="E11" s="22"/>
      <c r="F11" s="22"/>
      <c r="G11" s="22"/>
      <c r="H11" s="22"/>
      <c r="I11" s="22"/>
      <c r="J11" s="22"/>
      <c r="K11" s="24" t="s">
        <v>5</v>
      </c>
      <c r="L11" s="22"/>
      <c r="M11" s="22"/>
      <c r="N11" s="22"/>
      <c r="O11" s="22"/>
      <c r="P11" s="22"/>
      <c r="Q11" s="22"/>
      <c r="R11" s="22"/>
    </row>
    <row r="12" spans="1:18" ht="13.5" thickBot="1" x14ac:dyDescent="0.25">
      <c r="A12" s="22"/>
      <c r="B12" s="22"/>
      <c r="C12" s="22"/>
      <c r="D12" s="22"/>
      <c r="E12" s="22"/>
      <c r="F12" s="22"/>
      <c r="G12" s="22"/>
      <c r="H12" s="22"/>
      <c r="I12" s="22"/>
      <c r="J12" s="22"/>
      <c r="K12" s="24"/>
      <c r="L12" s="22"/>
      <c r="M12" s="22"/>
      <c r="N12" s="22"/>
      <c r="O12" s="22"/>
      <c r="P12" s="22"/>
      <c r="Q12" s="22"/>
      <c r="R12" s="22"/>
    </row>
    <row r="13" spans="1:18" x14ac:dyDescent="0.2">
      <c r="A13" s="22"/>
      <c r="B13" s="22"/>
      <c r="C13" s="22"/>
      <c r="D13" s="106" t="s">
        <v>23</v>
      </c>
      <c r="E13" s="107"/>
      <c r="F13" s="67"/>
      <c r="G13" s="67"/>
      <c r="H13" s="67"/>
      <c r="I13" s="67"/>
      <c r="J13" s="67"/>
      <c r="K13" s="67"/>
      <c r="L13" s="67"/>
      <c r="M13" s="67"/>
      <c r="N13" s="67"/>
      <c r="O13" s="67"/>
      <c r="P13" s="67"/>
      <c r="Q13" s="97"/>
      <c r="R13" s="22"/>
    </row>
    <row r="14" spans="1:18" ht="15" x14ac:dyDescent="0.25">
      <c r="A14" s="22"/>
      <c r="B14" s="22"/>
      <c r="C14" s="26"/>
      <c r="D14" s="108" t="str">
        <f>IF(B23=3,(B16-SUM(D16:D18,D24:D26,D32:D36))/B23,"│  ")</f>
        <v xml:space="preserve">│  </v>
      </c>
      <c r="E14" s="109"/>
      <c r="F14" s="16"/>
      <c r="G14" s="16"/>
      <c r="H14" s="16"/>
      <c r="I14" s="16"/>
      <c r="J14" s="16"/>
      <c r="K14" s="16"/>
      <c r="L14" s="16"/>
      <c r="M14" s="16"/>
      <c r="N14" s="16"/>
      <c r="O14" s="66"/>
      <c r="P14" s="16"/>
      <c r="Q14" s="99"/>
      <c r="R14" s="22"/>
    </row>
    <row r="15" spans="1:18" ht="15.75" thickBot="1" x14ac:dyDescent="0.3">
      <c r="A15" s="22"/>
      <c r="B15" s="31" t="s">
        <v>13</v>
      </c>
      <c r="C15" s="26"/>
      <c r="D15" s="110" t="str">
        <f>IF($B$29=3,"┼─","│  ")</f>
        <v xml:space="preserve">│  </v>
      </c>
      <c r="E15" s="111"/>
      <c r="F15" s="16" t="str">
        <f>IF($B$29=3,"XX","")</f>
        <v/>
      </c>
      <c r="G15" s="16"/>
      <c r="H15" s="16"/>
      <c r="I15" s="16"/>
      <c r="J15" s="16" t="str">
        <f>F15</f>
        <v/>
      </c>
      <c r="K15" s="16"/>
      <c r="L15" s="16"/>
      <c r="M15" s="16"/>
      <c r="N15" s="16" t="str">
        <f>F15</f>
        <v/>
      </c>
      <c r="O15" s="66"/>
      <c r="P15" s="16"/>
      <c r="Q15" s="99"/>
      <c r="R15" s="22"/>
    </row>
    <row r="16" spans="1:18" ht="15.75" thickBot="1" x14ac:dyDescent="0.3">
      <c r="A16" s="22"/>
      <c r="B16" s="193">
        <v>50</v>
      </c>
      <c r="C16" s="26"/>
      <c r="D16" s="108" t="str">
        <f>IF($B$29=3,2,"│  ")</f>
        <v xml:space="preserve">│  </v>
      </c>
      <c r="E16" s="109"/>
      <c r="F16" s="16"/>
      <c r="G16" s="16"/>
      <c r="H16" s="16"/>
      <c r="I16" s="16"/>
      <c r="J16" s="16"/>
      <c r="K16" s="16"/>
      <c r="L16" s="16"/>
      <c r="M16" s="16"/>
      <c r="N16" s="16"/>
      <c r="O16" s="66"/>
      <c r="P16" s="16"/>
      <c r="Q16" s="101"/>
      <c r="R16" s="22"/>
    </row>
    <row r="17" spans="1:25" ht="15.75" thickBot="1" x14ac:dyDescent="0.3">
      <c r="A17" s="30"/>
      <c r="B17" s="28" t="s">
        <v>19</v>
      </c>
      <c r="C17" s="26"/>
      <c r="D17" s="108" t="str">
        <f>IF($B$29=3,"┼─","│  ")</f>
        <v xml:space="preserve">│  </v>
      </c>
      <c r="E17" s="109"/>
      <c r="F17" s="16"/>
      <c r="G17" s="16"/>
      <c r="H17" s="16" t="str">
        <f>IF($B$29=3,"XX","")</f>
        <v/>
      </c>
      <c r="I17" s="16"/>
      <c r="J17" s="16"/>
      <c r="K17" s="16"/>
      <c r="L17" s="16" t="str">
        <f>H17</f>
        <v/>
      </c>
      <c r="M17" s="16"/>
      <c r="N17" s="16"/>
      <c r="O17" s="66"/>
      <c r="P17" s="16" t="str">
        <f>H17</f>
        <v/>
      </c>
      <c r="Q17" s="99"/>
      <c r="R17" s="22"/>
    </row>
    <row r="18" spans="1:25" ht="15.75" thickBot="1" x14ac:dyDescent="0.3">
      <c r="A18" s="30"/>
      <c r="B18" s="193">
        <v>46</v>
      </c>
      <c r="C18" s="26"/>
      <c r="D18" s="108" t="str">
        <f>IF($B$29=3,2,"│  ")</f>
        <v xml:space="preserve">│  </v>
      </c>
      <c r="E18" s="109"/>
      <c r="F18" s="16"/>
      <c r="G18" s="16"/>
      <c r="H18" s="16"/>
      <c r="I18" s="16"/>
      <c r="J18" s="16"/>
      <c r="K18" s="16"/>
      <c r="L18" s="16"/>
      <c r="M18" s="16"/>
      <c r="N18" s="16"/>
      <c r="O18" s="66"/>
      <c r="P18" s="16"/>
      <c r="Q18" s="101"/>
      <c r="R18" s="22"/>
      <c r="S18" s="5" t="s">
        <v>6</v>
      </c>
      <c r="T18" s="5"/>
      <c r="U18" s="5" t="s">
        <v>7</v>
      </c>
      <c r="V18" s="5" t="s">
        <v>8</v>
      </c>
      <c r="W18" s="5" t="s">
        <v>27</v>
      </c>
      <c r="X18" s="5" t="s">
        <v>28</v>
      </c>
      <c r="Y18" s="5" t="s">
        <v>29</v>
      </c>
    </row>
    <row r="19" spans="1:25" ht="15.75" thickBot="1" x14ac:dyDescent="0.3">
      <c r="A19" s="30"/>
      <c r="B19" s="31" t="s">
        <v>36</v>
      </c>
      <c r="C19" s="26"/>
      <c r="D19" s="110" t="str">
        <f>IF($B$29=3,"┼─","│  ")</f>
        <v xml:space="preserve">│  </v>
      </c>
      <c r="E19" s="111"/>
      <c r="F19" s="16" t="str">
        <f>IF($B$29=3,"XX","")</f>
        <v/>
      </c>
      <c r="G19" s="16"/>
      <c r="H19" s="16"/>
      <c r="I19" s="16"/>
      <c r="J19" s="16" t="str">
        <f>F19</f>
        <v/>
      </c>
      <c r="K19" s="16"/>
      <c r="L19" s="16"/>
      <c r="M19" s="16"/>
      <c r="N19" s="16" t="str">
        <f>F19</f>
        <v/>
      </c>
      <c r="O19" s="66"/>
      <c r="P19" s="16"/>
      <c r="Q19" s="101"/>
      <c r="R19" s="22"/>
      <c r="S19" s="9">
        <v>1</v>
      </c>
      <c r="T19" s="2" t="s">
        <v>9</v>
      </c>
      <c r="U19" s="10">
        <v>31</v>
      </c>
      <c r="V19" s="11">
        <v>1</v>
      </c>
      <c r="W19" s="11">
        <v>3</v>
      </c>
      <c r="X19" s="11">
        <v>0</v>
      </c>
      <c r="Y19" s="11">
        <v>0</v>
      </c>
    </row>
    <row r="20" spans="1:25" ht="15.75" thickBot="1" x14ac:dyDescent="0.3">
      <c r="A20" s="30"/>
      <c r="B20" s="194">
        <v>16</v>
      </c>
      <c r="C20" s="26"/>
      <c r="D20" s="112" t="s">
        <v>37</v>
      </c>
      <c r="E20" s="113"/>
      <c r="F20" s="16"/>
      <c r="G20" s="16"/>
      <c r="H20" s="16"/>
      <c r="I20" s="16"/>
      <c r="J20" s="16"/>
      <c r="K20" s="16"/>
      <c r="L20" s="16"/>
      <c r="M20" s="16"/>
      <c r="N20" s="16"/>
      <c r="O20" s="66"/>
      <c r="P20" s="16"/>
      <c r="Q20" s="101"/>
      <c r="R20" s="22"/>
      <c r="S20" s="9"/>
      <c r="T20" s="2"/>
      <c r="U20" s="10"/>
      <c r="V20" s="11"/>
      <c r="W20" s="11"/>
      <c r="X20" s="11"/>
      <c r="Y20" s="11"/>
    </row>
    <row r="21" spans="1:25" ht="15" x14ac:dyDescent="0.25">
      <c r="A21" s="30"/>
      <c r="B21" s="22"/>
      <c r="C21" s="26"/>
      <c r="D21" s="108">
        <f>IF(B23=1,"│  ",(B16-SUM(D24:D26,D32:D36,D16:D18))/B23)</f>
        <v>20</v>
      </c>
      <c r="E21" s="109"/>
      <c r="F21" s="16"/>
      <c r="G21" s="16"/>
      <c r="H21" s="16"/>
      <c r="I21" s="16"/>
      <c r="J21" s="16"/>
      <c r="K21" s="16"/>
      <c r="L21" s="16"/>
      <c r="M21" s="16"/>
      <c r="N21" s="16"/>
      <c r="O21" s="66"/>
      <c r="P21" s="16"/>
      <c r="Q21" s="99"/>
      <c r="R21" s="22"/>
      <c r="S21" s="9">
        <v>31.5</v>
      </c>
      <c r="T21" s="2" t="s">
        <v>9</v>
      </c>
      <c r="U21" s="10">
        <v>60</v>
      </c>
      <c r="V21" s="11">
        <v>2</v>
      </c>
      <c r="W21" s="11">
        <v>3</v>
      </c>
      <c r="X21" s="11">
        <v>3</v>
      </c>
      <c r="Y21" s="11">
        <v>0</v>
      </c>
    </row>
    <row r="22" spans="1:25" ht="15.75" thickBot="1" x14ac:dyDescent="0.3">
      <c r="A22" s="30"/>
      <c r="B22" s="31" t="s">
        <v>1</v>
      </c>
      <c r="C22" s="26"/>
      <c r="D22" s="112" t="s">
        <v>37</v>
      </c>
      <c r="E22" s="113"/>
      <c r="F22" s="16"/>
      <c r="G22" s="16"/>
      <c r="H22" s="16"/>
      <c r="I22" s="18" t="str">
        <f>IF(B23="Contact Berger", "Contact Berger","")</f>
        <v/>
      </c>
      <c r="J22" s="16"/>
      <c r="K22" s="16"/>
      <c r="L22" s="16"/>
      <c r="M22" s="16"/>
      <c r="N22" s="16"/>
      <c r="O22" s="66"/>
      <c r="P22" s="16"/>
      <c r="Q22" s="99"/>
      <c r="R22" s="22"/>
      <c r="S22" s="9"/>
      <c r="T22" s="2"/>
      <c r="U22" s="10"/>
      <c r="V22" s="11"/>
      <c r="W22" s="11"/>
      <c r="X22" s="11"/>
      <c r="Y22" s="11"/>
    </row>
    <row r="23" spans="1:25" ht="13.5" thickBot="1" x14ac:dyDescent="0.25">
      <c r="A23" s="30"/>
      <c r="B23" s="172">
        <f>VLOOKUP(B16,S19:Y25,4)</f>
        <v>2</v>
      </c>
      <c r="C23" s="26"/>
      <c r="D23" s="114" t="str">
        <f>IF(AND($B$25&gt;0,$B$27&gt;2),"┼─","│  ")</f>
        <v>┼─</v>
      </c>
      <c r="E23" s="111" t="str">
        <f>E27</f>
        <v>- - - - - - - -</v>
      </c>
      <c r="F23" s="115" t="str">
        <f>E27</f>
        <v>- - - - - - - -</v>
      </c>
      <c r="G23" s="115" t="str">
        <f>E27</f>
        <v>- - - - - - - -</v>
      </c>
      <c r="H23" s="16" t="str">
        <f>IF(AND($B$25=3,$B$27=3),"XX","")</f>
        <v>XX</v>
      </c>
      <c r="I23" s="115" t="str">
        <f>E27</f>
        <v>- - - - - - - -</v>
      </c>
      <c r="J23" s="115" t="str">
        <f>E27</f>
        <v>- - - - - - - -</v>
      </c>
      <c r="K23" s="115" t="str">
        <f>E27</f>
        <v>- - - - - - - -</v>
      </c>
      <c r="L23" s="16" t="str">
        <f>H23</f>
        <v>XX</v>
      </c>
      <c r="M23" s="115" t="str">
        <f>E27</f>
        <v>- - - - - - - -</v>
      </c>
      <c r="N23" s="115" t="str">
        <f>E27</f>
        <v>- - - - - - - -</v>
      </c>
      <c r="O23" s="115" t="str">
        <f>E27</f>
        <v>- - - - - - - -</v>
      </c>
      <c r="P23" s="16" t="str">
        <f>H23</f>
        <v>XX</v>
      </c>
      <c r="Q23" s="116" t="str">
        <f>E27</f>
        <v>- - - - - - - -</v>
      </c>
      <c r="R23" s="22"/>
      <c r="S23" s="9"/>
      <c r="T23" s="2"/>
      <c r="U23" s="10"/>
      <c r="V23" s="11"/>
      <c r="W23" s="11"/>
      <c r="X23" s="11"/>
      <c r="Y23" s="11"/>
    </row>
    <row r="24" spans="1:25" ht="15.75" thickBot="1" x14ac:dyDescent="0.3">
      <c r="A24" s="30"/>
      <c r="B24" s="32" t="s">
        <v>12</v>
      </c>
      <c r="C24" s="26"/>
      <c r="D24" s="108">
        <f>IF(AND($B$25&gt;0,$B$27&gt;2),2,"│  ")</f>
        <v>2</v>
      </c>
      <c r="E24" s="109"/>
      <c r="F24" s="16"/>
      <c r="G24" s="16"/>
      <c r="H24" s="16"/>
      <c r="I24" s="16"/>
      <c r="J24" s="16"/>
      <c r="K24" s="16"/>
      <c r="L24" s="16"/>
      <c r="M24" s="16"/>
      <c r="N24" s="16"/>
      <c r="O24" s="66"/>
      <c r="P24" s="16"/>
      <c r="Q24" s="101"/>
      <c r="R24" s="22"/>
      <c r="S24" s="9"/>
      <c r="T24" s="2"/>
      <c r="U24" s="10"/>
      <c r="V24" s="11"/>
      <c r="W24" s="11"/>
      <c r="X24" s="11"/>
      <c r="Y24" s="11"/>
    </row>
    <row r="25" spans="1:25" ht="13.5" thickBot="1" x14ac:dyDescent="0.25">
      <c r="A25" s="30"/>
      <c r="B25" s="173">
        <f>VLOOKUP(B16,S19:Y25,5)</f>
        <v>3</v>
      </c>
      <c r="C25" s="26"/>
      <c r="D25" s="117" t="str">
        <f>IF(AND($B$25&gt;0,$B$27&gt;0),"┼─","│  ")</f>
        <v>┼─</v>
      </c>
      <c r="E25" s="111" t="str">
        <f>E27</f>
        <v>- - - - - - - -</v>
      </c>
      <c r="F25" s="16" t="str">
        <f>IF(AND($B$25=3,$B$27&gt;0),"XX","")</f>
        <v>XX</v>
      </c>
      <c r="G25" s="115" t="str">
        <f>E27</f>
        <v>- - - - - - - -</v>
      </c>
      <c r="H25" s="115" t="str">
        <f>E27</f>
        <v>- - - - - - - -</v>
      </c>
      <c r="I25" s="115" t="str">
        <f>E27</f>
        <v>- - - - - - - -</v>
      </c>
      <c r="J25" s="16" t="str">
        <f>F25</f>
        <v>XX</v>
      </c>
      <c r="K25" s="115" t="str">
        <f>E27</f>
        <v>- - - - - - - -</v>
      </c>
      <c r="L25" s="16" t="str">
        <f>H25</f>
        <v>- - - - - - - -</v>
      </c>
      <c r="M25" s="115" t="str">
        <f>E27</f>
        <v>- - - - - - - -</v>
      </c>
      <c r="N25" s="16" t="str">
        <f>F25</f>
        <v>XX</v>
      </c>
      <c r="O25" s="115" t="str">
        <f>E27</f>
        <v>- - - - - - - -</v>
      </c>
      <c r="P25" s="16" t="str">
        <f>H25</f>
        <v>- - - - - - - -</v>
      </c>
      <c r="Q25" s="116" t="str">
        <f>E27</f>
        <v>- - - - - - - -</v>
      </c>
      <c r="R25" s="22"/>
      <c r="S25" s="9">
        <v>60.5</v>
      </c>
      <c r="T25" s="2" t="s">
        <v>9</v>
      </c>
      <c r="U25" s="10">
        <v>100</v>
      </c>
      <c r="V25" s="10" t="s">
        <v>10</v>
      </c>
      <c r="W25" s="10" t="s">
        <v>10</v>
      </c>
      <c r="X25" s="10" t="s">
        <v>10</v>
      </c>
      <c r="Y25" s="10" t="s">
        <v>10</v>
      </c>
    </row>
    <row r="26" spans="1:25" ht="15.75" thickBot="1" x14ac:dyDescent="0.3">
      <c r="A26" s="30"/>
      <c r="B26" s="33" t="s">
        <v>11</v>
      </c>
      <c r="C26" s="26"/>
      <c r="D26" s="108">
        <f>IF(AND($B$25&gt;0,$B$27&gt;0),2,"│  ")</f>
        <v>2</v>
      </c>
      <c r="E26" s="109"/>
      <c r="F26" s="16"/>
      <c r="G26" s="16"/>
      <c r="H26" s="16"/>
      <c r="I26" s="16"/>
      <c r="J26" s="16"/>
      <c r="K26" s="16"/>
      <c r="L26" s="16"/>
      <c r="M26" s="16"/>
      <c r="N26" s="16"/>
      <c r="O26" s="66"/>
      <c r="P26" s="16"/>
      <c r="Q26" s="101"/>
      <c r="R26" s="22"/>
      <c r="S26" s="1"/>
      <c r="T26" s="1"/>
      <c r="U26" s="8"/>
      <c r="V26" s="8"/>
      <c r="W26" s="8"/>
      <c r="X26" s="8"/>
    </row>
    <row r="27" spans="1:25" ht="13.5" thickBot="1" x14ac:dyDescent="0.25">
      <c r="A27" s="30"/>
      <c r="B27" s="172">
        <f>VLOOKUP(B16,S19:Y25,6)</f>
        <v>3</v>
      </c>
      <c r="C27" s="26"/>
      <c r="D27" s="114" t="str">
        <f>IF(AND($B$25&gt;0,$B$27&gt;0),"┼─","│  ")</f>
        <v>┼─</v>
      </c>
      <c r="E27" s="111" t="str">
        <f>IF($D$26=2,"- - - - - - - -","")</f>
        <v>- - - - - - - -</v>
      </c>
      <c r="F27" s="115" t="str">
        <f>E27</f>
        <v>- - - - - - - -</v>
      </c>
      <c r="G27" s="115" t="str">
        <f>E27</f>
        <v>- - - - - - - -</v>
      </c>
      <c r="H27" s="16" t="str">
        <f>IF(AND($B$25=3,$B$27&gt;0),"XX","")</f>
        <v>XX</v>
      </c>
      <c r="I27" s="118" t="str">
        <f>E27</f>
        <v>- - - - - - - -</v>
      </c>
      <c r="J27" s="118" t="str">
        <f>E27</f>
        <v>- - - - - - - -</v>
      </c>
      <c r="K27" s="118" t="str">
        <f>E27</f>
        <v>- - - - - - - -</v>
      </c>
      <c r="L27" s="16" t="str">
        <f>H27</f>
        <v>XX</v>
      </c>
      <c r="M27" s="118" t="str">
        <f>E27</f>
        <v>- - - - - - - -</v>
      </c>
      <c r="N27" s="118" t="str">
        <f>E27</f>
        <v>- - - - - - - -</v>
      </c>
      <c r="O27" s="118" t="str">
        <f>E27</f>
        <v>- - - - - - - -</v>
      </c>
      <c r="P27" s="16" t="str">
        <f>H27</f>
        <v>XX</v>
      </c>
      <c r="Q27" s="116" t="str">
        <f>E27</f>
        <v>- - - - - - - -</v>
      </c>
      <c r="R27" s="22"/>
      <c r="S27" s="1"/>
      <c r="T27" s="1"/>
      <c r="U27" s="1"/>
      <c r="V27" s="2" t="s">
        <v>14</v>
      </c>
      <c r="W27" s="1">
        <f>B18/(B20/12)/2</f>
        <v>17.25</v>
      </c>
      <c r="X27" s="1"/>
    </row>
    <row r="28" spans="1:25" ht="15.75" thickBot="1" x14ac:dyDescent="0.3">
      <c r="A28" s="30"/>
      <c r="B28" s="33" t="s">
        <v>26</v>
      </c>
      <c r="C28" s="26"/>
      <c r="D28" s="112" t="s">
        <v>25</v>
      </c>
      <c r="E28" s="113"/>
      <c r="F28" s="16"/>
      <c r="G28" s="16"/>
      <c r="H28" s="16"/>
      <c r="I28" s="16"/>
      <c r="J28" s="16"/>
      <c r="K28" s="16"/>
      <c r="L28" s="16"/>
      <c r="M28" s="16"/>
      <c r="N28" s="16"/>
      <c r="O28" s="66"/>
      <c r="P28" s="16"/>
      <c r="Q28" s="101"/>
      <c r="R28" s="22"/>
      <c r="S28" s="7"/>
      <c r="T28" s="7"/>
      <c r="U28" s="7"/>
      <c r="V28" s="7"/>
      <c r="W28" s="7"/>
      <c r="X28" s="7"/>
    </row>
    <row r="29" spans="1:25" ht="15.75" thickBot="1" x14ac:dyDescent="0.3">
      <c r="A29" s="30"/>
      <c r="B29" s="172">
        <f>VLOOKUP(B16,S19:Y25,7)</f>
        <v>0</v>
      </c>
      <c r="C29" s="26"/>
      <c r="D29" s="108">
        <f>IF(B23=1,B16-SUM(D32:D36),(B16-SUM(D24:D26,D32:D36,D16:D18))/B23)</f>
        <v>20</v>
      </c>
      <c r="E29" s="109"/>
      <c r="F29" s="16"/>
      <c r="G29" s="16"/>
      <c r="H29" s="16"/>
      <c r="I29" s="16"/>
      <c r="J29" s="16"/>
      <c r="K29" s="16"/>
      <c r="L29" s="16"/>
      <c r="M29" s="16"/>
      <c r="N29" s="16"/>
      <c r="O29" s="66"/>
      <c r="P29" s="16"/>
      <c r="Q29" s="101"/>
      <c r="R29" s="22"/>
      <c r="S29" s="1"/>
      <c r="T29" s="1"/>
      <c r="U29" s="1"/>
      <c r="V29" s="1"/>
      <c r="W29" s="1"/>
      <c r="X29" s="1"/>
    </row>
    <row r="30" spans="1:25" ht="15" x14ac:dyDescent="0.25">
      <c r="A30" s="30"/>
      <c r="B30" s="22"/>
      <c r="C30" s="26"/>
      <c r="D30" s="112" t="s">
        <v>25</v>
      </c>
      <c r="E30" s="119"/>
      <c r="F30" s="16"/>
      <c r="G30" s="16"/>
      <c r="H30" s="16"/>
      <c r="I30" s="16"/>
      <c r="J30" s="16"/>
      <c r="K30" s="16"/>
      <c r="L30" s="16"/>
      <c r="M30" s="16"/>
      <c r="N30" s="16"/>
      <c r="O30" s="66"/>
      <c r="P30" s="16"/>
      <c r="Q30" s="101"/>
      <c r="R30" s="22"/>
      <c r="S30" s="7"/>
      <c r="T30" s="7"/>
      <c r="U30" s="7"/>
      <c r="V30" s="7"/>
      <c r="W30" s="7"/>
      <c r="X30" s="7"/>
    </row>
    <row r="31" spans="1:25" ht="13.5" thickBot="1" x14ac:dyDescent="0.25">
      <c r="A31" s="30"/>
      <c r="B31" s="24" t="s">
        <v>18</v>
      </c>
      <c r="C31" s="26"/>
      <c r="D31" s="120" t="str">
        <f>IF($B$25=3,"┼─","│  ")</f>
        <v>┼─</v>
      </c>
      <c r="E31" s="111" t="str">
        <f>E35</f>
        <v>- - - - - - - -</v>
      </c>
      <c r="F31" s="16" t="str">
        <f>IF($B$25=3,"XX","")</f>
        <v>XX</v>
      </c>
      <c r="G31" s="115" t="str">
        <f>E35</f>
        <v>- - - - - - - -</v>
      </c>
      <c r="H31" s="115" t="str">
        <f>E35</f>
        <v>- - - - - - - -</v>
      </c>
      <c r="I31" s="115" t="str">
        <f>E35</f>
        <v>- - - - - - - -</v>
      </c>
      <c r="J31" s="16" t="str">
        <f>F31</f>
        <v>XX</v>
      </c>
      <c r="K31" s="115" t="str">
        <f>E35</f>
        <v>- - - - - - - -</v>
      </c>
      <c r="L31" s="115" t="str">
        <f>E35</f>
        <v>- - - - - - - -</v>
      </c>
      <c r="M31" s="115" t="str">
        <f>E35</f>
        <v>- - - - - - - -</v>
      </c>
      <c r="N31" s="16" t="str">
        <f>F31</f>
        <v>XX</v>
      </c>
      <c r="O31" s="115" t="str">
        <f>E35</f>
        <v>- - - - - - - -</v>
      </c>
      <c r="P31" s="115" t="str">
        <f>E35</f>
        <v>- - - - - - - -</v>
      </c>
      <c r="Q31" s="116" t="str">
        <f>E35</f>
        <v>- - - - - - - -</v>
      </c>
      <c r="R31" s="22"/>
      <c r="S31" s="1"/>
      <c r="T31" s="1"/>
      <c r="U31" s="1"/>
      <c r="V31" s="1"/>
      <c r="W31" s="1"/>
      <c r="X31" s="1"/>
    </row>
    <row r="32" spans="1:25" ht="15.75" thickBot="1" x14ac:dyDescent="0.3">
      <c r="A32" s="30"/>
      <c r="B32" s="187">
        <f>ROUNDUP(W27*(B25+B27+B29),0)</f>
        <v>104</v>
      </c>
      <c r="C32" s="26"/>
      <c r="D32" s="108">
        <f>IF($B$25=3,2,"│  ")</f>
        <v>2</v>
      </c>
      <c r="E32" s="109"/>
      <c r="F32" s="16"/>
      <c r="G32" s="16"/>
      <c r="H32" s="16"/>
      <c r="I32" s="16"/>
      <c r="J32" s="16"/>
      <c r="K32" s="16"/>
      <c r="L32" s="16"/>
      <c r="M32" s="16"/>
      <c r="N32" s="16"/>
      <c r="O32" s="66"/>
      <c r="P32" s="16"/>
      <c r="Q32" s="101"/>
      <c r="R32" s="22"/>
      <c r="S32" s="7"/>
      <c r="T32" s="7"/>
      <c r="U32" s="7"/>
      <c r="V32" s="7"/>
      <c r="W32" s="7"/>
      <c r="X32" s="7"/>
    </row>
    <row r="33" spans="1:24" ht="13.5" thickBot="1" x14ac:dyDescent="0.25">
      <c r="A33" s="30"/>
      <c r="B33" s="28" t="s">
        <v>2</v>
      </c>
      <c r="C33" s="26"/>
      <c r="D33" s="121" t="s">
        <v>22</v>
      </c>
      <c r="E33" s="111" t="str">
        <f>E35</f>
        <v>- - - - - - - -</v>
      </c>
      <c r="F33" s="115" t="str">
        <f>E35</f>
        <v>- - - - - - - -</v>
      </c>
      <c r="G33" s="115" t="str">
        <f>E35</f>
        <v>- - - - - - - -</v>
      </c>
      <c r="H33" s="16" t="str">
        <f>IF(OR($B$25=2,$B$25=3),"XX","")</f>
        <v>XX</v>
      </c>
      <c r="I33" s="115" t="str">
        <f>E35</f>
        <v>- - - - - - - -</v>
      </c>
      <c r="J33" s="115" t="str">
        <f>E35</f>
        <v>- - - - - - - -</v>
      </c>
      <c r="K33" s="115" t="str">
        <f>E35</f>
        <v>- - - - - - - -</v>
      </c>
      <c r="L33" s="16" t="str">
        <f>H33</f>
        <v>XX</v>
      </c>
      <c r="M33" s="115" t="str">
        <f>E35</f>
        <v>- - - - - - - -</v>
      </c>
      <c r="N33" s="115" t="str">
        <f>E35</f>
        <v>- - - - - - - -</v>
      </c>
      <c r="O33" s="115" t="str">
        <f>E35</f>
        <v>- - - - - - - -</v>
      </c>
      <c r="P33" s="16" t="str">
        <f>H33</f>
        <v>XX</v>
      </c>
      <c r="Q33" s="116" t="str">
        <f>E35</f>
        <v>- - - - - - - -</v>
      </c>
      <c r="R33" s="22"/>
      <c r="S33" s="3"/>
      <c r="T33" s="3"/>
      <c r="U33" s="3"/>
      <c r="V33" s="3"/>
      <c r="W33" s="3"/>
      <c r="X33" s="3"/>
    </row>
    <row r="34" spans="1:24" ht="15.75" thickBot="1" x14ac:dyDescent="0.3">
      <c r="A34" s="22"/>
      <c r="B34" s="188">
        <f>B16*B18/100</f>
        <v>23</v>
      </c>
      <c r="C34" s="22"/>
      <c r="D34" s="108">
        <v>2</v>
      </c>
      <c r="E34" s="109"/>
      <c r="F34" s="16"/>
      <c r="G34" s="16"/>
      <c r="H34" s="16"/>
      <c r="I34" s="16"/>
      <c r="J34" s="16"/>
      <c r="K34" s="16"/>
      <c r="L34" s="16"/>
      <c r="M34" s="16"/>
      <c r="N34" s="16"/>
      <c r="O34" s="66"/>
      <c r="P34" s="16"/>
      <c r="Q34" s="101"/>
      <c r="R34" s="22"/>
    </row>
    <row r="35" spans="1:24" ht="13.5" thickBot="1" x14ac:dyDescent="0.25">
      <c r="A35" s="22"/>
      <c r="B35" s="31" t="s">
        <v>3</v>
      </c>
      <c r="C35" s="22"/>
      <c r="D35" s="106" t="s">
        <v>22</v>
      </c>
      <c r="E35" s="111" t="str">
        <f>IF($D$36=2,"- - - - - - - -","")</f>
        <v>- - - - - - - -</v>
      </c>
      <c r="F35" s="16" t="str">
        <f>IF(OR($B$25=2,$B$25=3),"XX","")</f>
        <v>XX</v>
      </c>
      <c r="G35" s="115" t="str">
        <f>E35</f>
        <v>- - - - - - - -</v>
      </c>
      <c r="H35" s="115" t="str">
        <f>E35</f>
        <v>- - - - - - - -</v>
      </c>
      <c r="I35" s="115" t="str">
        <f>E35</f>
        <v>- - - - - - - -</v>
      </c>
      <c r="J35" s="16" t="str">
        <f>F35</f>
        <v>XX</v>
      </c>
      <c r="K35" s="115" t="str">
        <f>E35</f>
        <v>- - - - - - - -</v>
      </c>
      <c r="L35" s="115" t="str">
        <f>E35</f>
        <v>- - - - - - - -</v>
      </c>
      <c r="M35" s="118" t="str">
        <f>E35</f>
        <v>- - - - - - - -</v>
      </c>
      <c r="N35" s="16" t="str">
        <f>F35</f>
        <v>XX</v>
      </c>
      <c r="O35" s="115" t="str">
        <f>E35</f>
        <v>- - - - - - - -</v>
      </c>
      <c r="P35" s="115" t="str">
        <f>E35</f>
        <v>- - - - - - - -</v>
      </c>
      <c r="Q35" s="116" t="str">
        <f>E35</f>
        <v>- - - - - - - -</v>
      </c>
      <c r="R35" s="22"/>
      <c r="S35" s="2"/>
      <c r="T35" s="2"/>
      <c r="U35" s="2"/>
      <c r="V35" s="2"/>
      <c r="W35" s="2"/>
      <c r="X35" s="2"/>
    </row>
    <row r="36" spans="1:24" ht="15.75" thickBot="1" x14ac:dyDescent="0.3">
      <c r="A36" s="22"/>
      <c r="B36" s="189">
        <f>ROUNDUP(B32/B34,0)</f>
        <v>5</v>
      </c>
      <c r="C36" s="22"/>
      <c r="D36" s="108">
        <v>2</v>
      </c>
      <c r="E36" s="109"/>
      <c r="F36" s="16"/>
      <c r="G36" s="16"/>
      <c r="H36" s="16"/>
      <c r="I36" s="16"/>
      <c r="J36" s="16"/>
      <c r="K36" s="16"/>
      <c r="L36" s="16"/>
      <c r="M36" s="16"/>
      <c r="N36" s="16"/>
      <c r="O36" s="16"/>
      <c r="P36" s="16"/>
      <c r="Q36" s="101"/>
      <c r="R36" s="22"/>
      <c r="S36" s="1"/>
      <c r="T36" s="1"/>
      <c r="U36" s="1"/>
      <c r="V36" s="1"/>
      <c r="W36" s="1"/>
      <c r="X36" s="1"/>
    </row>
    <row r="37" spans="1:24" ht="13.5" thickBot="1" x14ac:dyDescent="0.25">
      <c r="A37" s="22"/>
      <c r="B37" s="22"/>
      <c r="C37" s="22"/>
      <c r="D37" s="106" t="s">
        <v>24</v>
      </c>
      <c r="E37" s="122"/>
      <c r="F37" s="17"/>
      <c r="G37" s="17"/>
      <c r="H37" s="17"/>
      <c r="I37" s="17"/>
      <c r="J37" s="17"/>
      <c r="K37" s="17"/>
      <c r="L37" s="17"/>
      <c r="M37" s="17"/>
      <c r="N37" s="17"/>
      <c r="O37" s="17"/>
      <c r="P37" s="17"/>
      <c r="Q37" s="104"/>
      <c r="R37" s="22"/>
    </row>
    <row r="38" spans="1:24" x14ac:dyDescent="0.2">
      <c r="A38" s="22"/>
      <c r="B38" s="22"/>
      <c r="C38" s="22"/>
      <c r="D38" s="26"/>
      <c r="E38" s="26"/>
      <c r="F38" s="38" t="s">
        <v>21</v>
      </c>
      <c r="G38" s="38">
        <f>$B$20</f>
        <v>16</v>
      </c>
      <c r="H38" s="38" t="s">
        <v>21</v>
      </c>
      <c r="I38" s="38">
        <f t="shared" ref="I38:O38" si="0">$B$20</f>
        <v>16</v>
      </c>
      <c r="J38" s="38" t="s">
        <v>21</v>
      </c>
      <c r="K38" s="38">
        <f t="shared" si="0"/>
        <v>16</v>
      </c>
      <c r="L38" s="38" t="s">
        <v>21</v>
      </c>
      <c r="M38" s="38">
        <f t="shared" si="0"/>
        <v>16</v>
      </c>
      <c r="N38" s="38" t="s">
        <v>21</v>
      </c>
      <c r="O38" s="38">
        <f t="shared" si="0"/>
        <v>16</v>
      </c>
      <c r="P38" s="38" t="s">
        <v>21</v>
      </c>
      <c r="Q38" s="63" t="s">
        <v>30</v>
      </c>
      <c r="R38" s="22"/>
    </row>
    <row r="39" spans="1:24" x14ac:dyDescent="0.2">
      <c r="A39" s="22"/>
      <c r="B39" s="22"/>
      <c r="C39" s="22"/>
      <c r="D39" s="22"/>
      <c r="E39" s="22"/>
      <c r="F39" s="26"/>
      <c r="G39" s="26"/>
      <c r="H39" s="26"/>
      <c r="I39" s="26"/>
      <c r="J39" s="22"/>
      <c r="K39" s="26"/>
      <c r="L39" s="39"/>
      <c r="M39" s="26"/>
      <c r="N39" s="22"/>
      <c r="O39" s="26"/>
      <c r="P39" s="22"/>
      <c r="Q39" s="22"/>
      <c r="R39" s="22"/>
    </row>
    <row r="40" spans="1:24" x14ac:dyDescent="0.2">
      <c r="A40" s="22"/>
      <c r="B40" s="22"/>
      <c r="C40" s="22"/>
      <c r="D40" s="22"/>
      <c r="E40" s="22"/>
      <c r="F40" s="23"/>
      <c r="G40" s="22"/>
      <c r="H40" s="22"/>
      <c r="I40" s="22"/>
      <c r="J40" s="22"/>
      <c r="K40" s="24" t="s">
        <v>0</v>
      </c>
      <c r="L40" s="22"/>
      <c r="M40" s="22"/>
      <c r="N40" s="22"/>
      <c r="O40" s="22"/>
      <c r="P40" s="22"/>
      <c r="Q40" s="22"/>
      <c r="R40" s="22"/>
    </row>
    <row r="41" spans="1:24" ht="6" customHeight="1" x14ac:dyDescent="0.2">
      <c r="A41" s="22"/>
      <c r="B41" s="22"/>
      <c r="C41" s="22"/>
      <c r="D41" s="22"/>
      <c r="E41" s="22"/>
      <c r="F41" s="22"/>
      <c r="G41" s="22"/>
      <c r="H41" s="22"/>
      <c r="I41" s="22"/>
      <c r="J41" s="22"/>
      <c r="K41" s="22"/>
      <c r="L41" s="22"/>
      <c r="M41" s="22"/>
      <c r="N41" s="22"/>
      <c r="O41" s="22"/>
      <c r="P41" s="22"/>
      <c r="Q41" s="22"/>
      <c r="R41" s="22"/>
    </row>
    <row r="42" spans="1:24" ht="21" customHeight="1" x14ac:dyDescent="0.2">
      <c r="A42" s="22"/>
      <c r="B42" s="208" t="s">
        <v>70</v>
      </c>
      <c r="C42" s="209"/>
      <c r="D42" s="209"/>
      <c r="E42" s="209"/>
      <c r="F42" s="209"/>
      <c r="G42" s="209"/>
      <c r="H42" s="209"/>
      <c r="I42" s="209"/>
      <c r="J42" s="209"/>
      <c r="K42" s="209"/>
      <c r="L42" s="209"/>
      <c r="M42" s="209"/>
      <c r="N42" s="209"/>
      <c r="O42" s="209"/>
      <c r="P42" s="209"/>
      <c r="Q42" s="22"/>
      <c r="R42" s="22"/>
    </row>
    <row r="43" spans="1:24" x14ac:dyDescent="0.2">
      <c r="A43" s="22"/>
      <c r="B43" s="209"/>
      <c r="C43" s="209"/>
      <c r="D43" s="209"/>
      <c r="E43" s="209"/>
      <c r="F43" s="209"/>
      <c r="G43" s="209"/>
      <c r="H43" s="209"/>
      <c r="I43" s="209"/>
      <c r="J43" s="209"/>
      <c r="K43" s="209"/>
      <c r="L43" s="209"/>
      <c r="M43" s="209"/>
      <c r="N43" s="209"/>
      <c r="O43" s="209"/>
      <c r="P43" s="209"/>
      <c r="Q43" s="22"/>
      <c r="R43" s="22"/>
    </row>
    <row r="44" spans="1:24" x14ac:dyDescent="0.2">
      <c r="A44" s="22"/>
      <c r="B44" s="209"/>
      <c r="C44" s="209"/>
      <c r="D44" s="209"/>
      <c r="E44" s="209"/>
      <c r="F44" s="209"/>
      <c r="G44" s="209"/>
      <c r="H44" s="209"/>
      <c r="I44" s="209"/>
      <c r="J44" s="209"/>
      <c r="K44" s="209"/>
      <c r="L44" s="209"/>
      <c r="M44" s="209"/>
      <c r="N44" s="209"/>
      <c r="O44" s="209"/>
      <c r="P44" s="209"/>
      <c r="Q44" s="22"/>
      <c r="R44" s="22"/>
    </row>
    <row r="45" spans="1:24" x14ac:dyDescent="0.2">
      <c r="A45" s="22"/>
      <c r="B45" s="209"/>
      <c r="C45" s="209"/>
      <c r="D45" s="209"/>
      <c r="E45" s="209"/>
      <c r="F45" s="209"/>
      <c r="G45" s="209"/>
      <c r="H45" s="209"/>
      <c r="I45" s="209"/>
      <c r="J45" s="209"/>
      <c r="K45" s="209"/>
      <c r="L45" s="209"/>
      <c r="M45" s="209"/>
      <c r="N45" s="209"/>
      <c r="O45" s="209"/>
      <c r="P45" s="209"/>
      <c r="Q45" s="22"/>
      <c r="R45" s="22"/>
    </row>
    <row r="46" spans="1:24" x14ac:dyDescent="0.2">
      <c r="A46" s="22"/>
      <c r="B46" s="209"/>
      <c r="C46" s="209"/>
      <c r="D46" s="209"/>
      <c r="E46" s="209"/>
      <c r="F46" s="209"/>
      <c r="G46" s="209"/>
      <c r="H46" s="209"/>
      <c r="I46" s="209"/>
      <c r="J46" s="209"/>
      <c r="K46" s="209"/>
      <c r="L46" s="209"/>
      <c r="M46" s="209"/>
      <c r="N46" s="209"/>
      <c r="O46" s="209"/>
      <c r="P46" s="209"/>
      <c r="Q46" s="22"/>
      <c r="R46" s="22"/>
    </row>
    <row r="47" spans="1:24" ht="22.15" customHeight="1" x14ac:dyDescent="0.2">
      <c r="A47" s="22"/>
      <c r="B47" s="209"/>
      <c r="C47" s="209"/>
      <c r="D47" s="209"/>
      <c r="E47" s="209"/>
      <c r="F47" s="209"/>
      <c r="G47" s="209"/>
      <c r="H47" s="209"/>
      <c r="I47" s="209"/>
      <c r="J47" s="209"/>
      <c r="K47" s="209"/>
      <c r="L47" s="209"/>
      <c r="M47" s="209"/>
      <c r="N47" s="209"/>
      <c r="O47" s="209"/>
      <c r="P47" s="209"/>
      <c r="Q47" s="22"/>
      <c r="R47" s="22"/>
    </row>
    <row r="48" spans="1:24" x14ac:dyDescent="0.2">
      <c r="A48" s="22"/>
      <c r="B48" s="22"/>
      <c r="C48" s="22"/>
      <c r="D48" s="22"/>
      <c r="E48" s="22"/>
      <c r="F48" s="22"/>
      <c r="G48" s="22"/>
      <c r="H48" s="22"/>
      <c r="I48" s="22"/>
      <c r="J48" s="22"/>
      <c r="K48" s="22"/>
      <c r="L48" s="22"/>
      <c r="M48" s="22"/>
      <c r="N48" s="22"/>
      <c r="O48" s="22"/>
      <c r="P48" s="22"/>
      <c r="Q48" s="22"/>
      <c r="R48" s="22"/>
    </row>
    <row r="49" spans="1:18" x14ac:dyDescent="0.2">
      <c r="A49" s="22"/>
      <c r="B49" s="22"/>
      <c r="C49" s="22"/>
      <c r="D49" s="22"/>
      <c r="E49" s="22"/>
      <c r="F49" s="22"/>
      <c r="G49" s="22"/>
      <c r="H49" s="22"/>
      <c r="I49" s="22"/>
      <c r="J49" s="22"/>
      <c r="K49" s="22"/>
      <c r="L49" s="22"/>
      <c r="M49" s="22"/>
      <c r="N49" s="22"/>
      <c r="O49" s="22"/>
      <c r="P49" s="22"/>
      <c r="Q49" s="22"/>
      <c r="R49" s="22"/>
    </row>
    <row r="50" spans="1:18" x14ac:dyDescent="0.2">
      <c r="A50" s="22"/>
      <c r="B50" s="22"/>
      <c r="C50" s="22"/>
      <c r="D50" s="22"/>
      <c r="E50" s="22"/>
      <c r="F50" s="22"/>
      <c r="G50" s="22"/>
      <c r="H50" s="22"/>
      <c r="I50" s="22"/>
      <c r="J50" s="22"/>
      <c r="K50" s="22"/>
      <c r="L50" s="22"/>
      <c r="M50" s="22"/>
      <c r="N50" s="22"/>
      <c r="O50" s="22"/>
      <c r="P50" s="22"/>
      <c r="Q50" s="22"/>
      <c r="R50" s="22"/>
    </row>
  </sheetData>
  <sheetProtection algorithmName="SHA-512" hashValue="3W48caq0dFu7Uz/UmNcLxnOCtQxcDqUlzghEHgjQ8JU2pK0QnuefOa5HH7IxytL37nMnG9CsBevy1p+bplc+MQ==" saltValue="BX+KKZuHP5af1imDSLXehg==" spinCount="100000" sheet="1" objects="1" scenarios="1" selectLockedCells="1"/>
  <mergeCells count="1">
    <mergeCell ref="B42:P47"/>
  </mergeCells>
  <pageMargins left="0.7" right="0.7" top="0.75" bottom="0.75" header="0.3" footer="0.3"/>
  <pageSetup scale="68"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9"/>
  <sheetViews>
    <sheetView view="pageBreakPreview" zoomScale="75" zoomScaleNormal="53" zoomScaleSheetLayoutView="75" workbookViewId="0">
      <selection activeCell="B5" sqref="B5"/>
    </sheetView>
  </sheetViews>
  <sheetFormatPr defaultRowHeight="12.75" x14ac:dyDescent="0.2"/>
  <cols>
    <col min="1" max="1" width="12" customWidth="1"/>
    <col min="2" max="2" width="27" customWidth="1"/>
    <col min="5" max="5" width="0.85546875" customWidth="1"/>
    <col min="7" max="7" width="1" customWidth="1"/>
    <col min="9" max="9" width="1" customWidth="1"/>
    <col min="11" max="11" width="1" customWidth="1"/>
    <col min="13" max="13" width="1" customWidth="1"/>
    <col min="15" max="15" width="1.140625" customWidth="1"/>
    <col min="17" max="17" width="1" customWidth="1"/>
    <col min="18" max="18" width="10" customWidth="1"/>
    <col min="19" max="19" width="6.85546875" customWidth="1"/>
    <col min="20" max="20" width="2.5703125" bestFit="1" customWidth="1"/>
    <col min="21" max="21" width="5.28515625" customWidth="1"/>
    <col min="22" max="25" width="8.28515625" customWidth="1"/>
  </cols>
  <sheetData>
    <row r="1" spans="1:18" x14ac:dyDescent="0.2">
      <c r="A1" s="22"/>
      <c r="B1" s="22"/>
      <c r="C1" s="22"/>
      <c r="D1" s="22"/>
      <c r="E1" s="22"/>
      <c r="F1" s="22"/>
      <c r="G1" s="22"/>
      <c r="H1" s="22"/>
      <c r="I1" s="22"/>
      <c r="J1" s="22"/>
      <c r="K1" s="22"/>
      <c r="L1" s="22"/>
      <c r="M1" s="22"/>
      <c r="N1" s="22"/>
      <c r="O1" s="22"/>
      <c r="P1" s="22"/>
      <c r="Q1" s="22"/>
      <c r="R1" s="22"/>
    </row>
    <row r="2" spans="1:18" x14ac:dyDescent="0.2">
      <c r="A2" s="22"/>
      <c r="B2" s="22"/>
      <c r="C2" s="22"/>
      <c r="D2" s="22"/>
      <c r="E2" s="22"/>
      <c r="F2" s="22"/>
      <c r="G2" s="22"/>
      <c r="H2" s="22"/>
      <c r="I2" s="22"/>
      <c r="J2" s="22"/>
      <c r="K2" s="22"/>
      <c r="L2" s="22"/>
      <c r="M2" s="22"/>
      <c r="N2" s="22"/>
      <c r="O2" s="22"/>
      <c r="P2" s="22"/>
      <c r="Q2" s="22"/>
      <c r="R2" s="22"/>
    </row>
    <row r="3" spans="1:18" x14ac:dyDescent="0.2">
      <c r="A3" s="22"/>
      <c r="B3" s="22"/>
      <c r="C3" s="22"/>
      <c r="D3" s="22"/>
      <c r="E3" s="22"/>
      <c r="F3" s="22"/>
      <c r="G3" s="22"/>
      <c r="H3" s="22"/>
      <c r="I3" s="22"/>
      <c r="J3" s="22"/>
      <c r="K3" s="22"/>
      <c r="L3" s="22"/>
      <c r="M3" s="22"/>
      <c r="N3" s="22"/>
      <c r="O3" s="22"/>
      <c r="P3" s="22"/>
      <c r="Q3" s="22"/>
      <c r="R3" s="22"/>
    </row>
    <row r="4" spans="1:18" x14ac:dyDescent="0.2">
      <c r="A4" s="22"/>
      <c r="B4" s="22"/>
      <c r="C4" s="22"/>
      <c r="D4" s="22"/>
      <c r="E4" s="22"/>
      <c r="F4" s="22"/>
      <c r="G4" s="22"/>
      <c r="H4" s="22"/>
      <c r="I4" s="22"/>
      <c r="J4" s="22"/>
      <c r="K4" s="22"/>
      <c r="L4" s="22"/>
      <c r="M4" s="22"/>
      <c r="N4" s="22"/>
      <c r="O4" s="22"/>
      <c r="P4" s="22"/>
      <c r="Q4" s="22"/>
      <c r="R4" s="22"/>
    </row>
    <row r="5" spans="1:18" x14ac:dyDescent="0.2">
      <c r="A5" s="22" t="s">
        <v>32</v>
      </c>
      <c r="B5" s="191"/>
      <c r="C5" s="22"/>
      <c r="D5" s="22"/>
      <c r="E5" s="22"/>
      <c r="F5" s="22"/>
      <c r="G5" s="22"/>
      <c r="H5" s="22"/>
      <c r="I5" s="22"/>
      <c r="J5" s="22"/>
      <c r="K5" s="22"/>
      <c r="L5" s="22"/>
      <c r="M5" s="22"/>
      <c r="N5" s="22"/>
      <c r="O5" s="22"/>
      <c r="P5" s="22"/>
      <c r="Q5" s="22"/>
      <c r="R5" s="22"/>
    </row>
    <row r="6" spans="1:18" x14ac:dyDescent="0.2">
      <c r="A6" s="22" t="s">
        <v>33</v>
      </c>
      <c r="B6" s="40">
        <f ca="1">TODAY()</f>
        <v>45467</v>
      </c>
      <c r="C6" s="22"/>
      <c r="D6" s="22"/>
      <c r="E6" s="22"/>
      <c r="F6" s="22"/>
      <c r="G6" s="22"/>
      <c r="H6" s="22"/>
      <c r="I6" s="22"/>
      <c r="J6" s="22"/>
      <c r="K6" s="22"/>
      <c r="L6" s="22"/>
      <c r="M6" s="22"/>
      <c r="N6" s="22"/>
      <c r="O6" s="22"/>
      <c r="P6" s="22"/>
      <c r="Q6" s="22"/>
      <c r="R6" s="22"/>
    </row>
    <row r="7" spans="1:18" x14ac:dyDescent="0.2">
      <c r="A7" s="22" t="s">
        <v>34</v>
      </c>
      <c r="B7" s="191"/>
      <c r="C7" s="22"/>
      <c r="D7" s="22"/>
      <c r="E7" s="22"/>
      <c r="F7" s="22"/>
      <c r="G7" s="22"/>
      <c r="H7" s="22"/>
      <c r="I7" s="22"/>
      <c r="J7" s="22"/>
      <c r="K7" s="22"/>
      <c r="L7" s="22"/>
      <c r="M7" s="22"/>
      <c r="N7" s="22"/>
      <c r="O7" s="22"/>
      <c r="P7" s="22"/>
      <c r="Q7" s="22"/>
      <c r="R7" s="22"/>
    </row>
    <row r="8" spans="1:18" x14ac:dyDescent="0.2">
      <c r="A8" s="22"/>
      <c r="B8" s="23"/>
      <c r="C8" s="22"/>
      <c r="D8" s="22"/>
      <c r="E8" s="22"/>
      <c r="F8" s="22"/>
      <c r="G8" s="22"/>
      <c r="H8" s="22"/>
      <c r="I8" s="22"/>
      <c r="J8" s="22"/>
      <c r="K8" s="22"/>
      <c r="L8" s="22"/>
      <c r="M8" s="22"/>
      <c r="N8" s="22"/>
      <c r="O8" s="22"/>
      <c r="P8" s="22"/>
      <c r="Q8" s="22"/>
      <c r="R8" s="22"/>
    </row>
    <row r="9" spans="1:18" x14ac:dyDescent="0.2">
      <c r="A9" s="22"/>
      <c r="B9" s="23" t="s">
        <v>4</v>
      </c>
      <c r="C9" s="22"/>
      <c r="D9" s="22"/>
      <c r="E9" s="22"/>
      <c r="F9" s="22"/>
      <c r="G9" s="22"/>
      <c r="H9" s="22"/>
      <c r="I9" s="22"/>
      <c r="J9" s="22"/>
      <c r="K9" s="22"/>
      <c r="L9" s="22"/>
      <c r="M9" s="22"/>
      <c r="N9" s="22"/>
      <c r="O9" s="22"/>
      <c r="P9" s="22"/>
      <c r="Q9" s="22"/>
      <c r="R9" s="22"/>
    </row>
    <row r="10" spans="1:18" x14ac:dyDescent="0.2">
      <c r="A10" s="22"/>
      <c r="B10" s="23" t="s">
        <v>15</v>
      </c>
      <c r="C10" s="22"/>
      <c r="D10" s="22"/>
      <c r="E10" s="22"/>
      <c r="F10" s="22"/>
      <c r="G10" s="22"/>
      <c r="H10" s="22"/>
      <c r="I10" s="22"/>
      <c r="J10" s="22"/>
      <c r="K10" s="22"/>
      <c r="L10" s="22"/>
      <c r="M10" s="22"/>
      <c r="N10" s="22"/>
      <c r="O10" s="22"/>
      <c r="P10" s="22"/>
      <c r="Q10" s="22"/>
      <c r="R10" s="22"/>
    </row>
    <row r="11" spans="1:18" x14ac:dyDescent="0.2">
      <c r="A11" s="22"/>
      <c r="B11" s="23" t="s">
        <v>72</v>
      </c>
      <c r="C11" s="22"/>
      <c r="D11" s="22"/>
      <c r="E11" s="22"/>
      <c r="F11" s="22"/>
      <c r="G11" s="22"/>
      <c r="H11" s="22"/>
      <c r="I11" s="22"/>
      <c r="J11" s="22"/>
      <c r="K11" s="24" t="s">
        <v>5</v>
      </c>
      <c r="L11" s="22"/>
      <c r="M11" s="22"/>
      <c r="N11" s="22"/>
      <c r="O11" s="22"/>
      <c r="P11" s="22"/>
      <c r="Q11" s="22"/>
      <c r="R11" s="22"/>
    </row>
    <row r="12" spans="1:18" x14ac:dyDescent="0.2">
      <c r="A12" s="22"/>
      <c r="B12" s="23" t="s">
        <v>17</v>
      </c>
      <c r="C12" s="22"/>
      <c r="D12" s="22"/>
      <c r="E12" s="22"/>
      <c r="F12" s="22"/>
      <c r="G12" s="22"/>
      <c r="H12" s="22"/>
      <c r="I12" s="22"/>
      <c r="J12" s="22"/>
      <c r="K12" s="24"/>
      <c r="L12" s="22"/>
      <c r="M12" s="22"/>
      <c r="N12" s="22"/>
      <c r="O12" s="22"/>
      <c r="P12" s="22"/>
      <c r="Q12" s="22"/>
      <c r="R12" s="22"/>
    </row>
    <row r="13" spans="1:18" x14ac:dyDescent="0.2">
      <c r="A13" s="22"/>
      <c r="B13" s="22"/>
      <c r="C13" s="22"/>
      <c r="D13" s="25" t="s">
        <v>23</v>
      </c>
      <c r="E13" s="47"/>
      <c r="F13" s="48"/>
      <c r="G13" s="48"/>
      <c r="H13" s="48"/>
      <c r="I13" s="48"/>
      <c r="J13" s="48"/>
      <c r="K13" s="48"/>
      <c r="L13" s="48"/>
      <c r="M13" s="48"/>
      <c r="N13" s="48"/>
      <c r="O13" s="48"/>
      <c r="P13" s="48"/>
      <c r="Q13" s="49"/>
      <c r="R13" s="22"/>
    </row>
    <row r="14" spans="1:18" ht="13.5" thickBot="1" x14ac:dyDescent="0.25">
      <c r="A14" s="22"/>
      <c r="B14" s="22"/>
      <c r="C14" s="26"/>
      <c r="D14" s="27" t="str">
        <f>IF(B26=3,(B16-SUM(D16:D18,D24:D26,D32:D36))/B26,"│  ")</f>
        <v xml:space="preserve">│  </v>
      </c>
      <c r="E14" s="50"/>
      <c r="F14" s="1"/>
      <c r="G14" s="1"/>
      <c r="H14" s="1"/>
      <c r="I14" s="1"/>
      <c r="J14" s="1"/>
      <c r="K14" s="1"/>
      <c r="L14" s="1"/>
      <c r="M14" s="1"/>
      <c r="N14" s="1"/>
      <c r="P14" s="1"/>
      <c r="Q14" s="51"/>
      <c r="R14" s="22"/>
    </row>
    <row r="15" spans="1:18" x14ac:dyDescent="0.2">
      <c r="A15" s="22"/>
      <c r="B15" s="28" t="s">
        <v>13</v>
      </c>
      <c r="C15" s="26"/>
      <c r="D15" s="29" t="str">
        <f>IF($B$32=3,"┼─","│  ")</f>
        <v xml:space="preserve">│  </v>
      </c>
      <c r="E15" s="52"/>
      <c r="F15" s="2" t="str">
        <f>IF(AND($B$30=3,$B$32=3),"- - - XX - - -","")</f>
        <v/>
      </c>
      <c r="G15" s="1"/>
      <c r="H15" s="2" t="str">
        <f>IF(D16=2,"- - - - - - - - -","")</f>
        <v/>
      </c>
      <c r="I15" s="1"/>
      <c r="J15" s="2" t="str">
        <f>F15</f>
        <v/>
      </c>
      <c r="K15" s="1"/>
      <c r="L15" s="2" t="str">
        <f>H15</f>
        <v/>
      </c>
      <c r="M15" s="1"/>
      <c r="N15" s="2" t="str">
        <f>F15</f>
        <v/>
      </c>
      <c r="P15" s="1" t="str">
        <f>H15</f>
        <v/>
      </c>
      <c r="Q15" s="51"/>
      <c r="R15" s="22"/>
    </row>
    <row r="16" spans="1:18" ht="13.5" thickBot="1" x14ac:dyDescent="0.25">
      <c r="A16" s="22"/>
      <c r="B16" s="197">
        <v>20</v>
      </c>
      <c r="C16" s="26"/>
      <c r="D16" s="27" t="str">
        <f>IF($B$32=3,2,"│  ")</f>
        <v xml:space="preserve">│  </v>
      </c>
      <c r="E16" s="50"/>
      <c r="F16" s="2"/>
      <c r="G16" s="2"/>
      <c r="H16" s="2"/>
      <c r="I16" s="2"/>
      <c r="J16" s="2"/>
      <c r="K16" s="2"/>
      <c r="L16" s="2"/>
      <c r="M16" s="2"/>
      <c r="N16" s="2"/>
      <c r="P16" s="2"/>
      <c r="Q16" s="53"/>
      <c r="R16" s="22"/>
    </row>
    <row r="17" spans="1:25" x14ac:dyDescent="0.2">
      <c r="A17" s="30"/>
      <c r="B17" s="28" t="s">
        <v>19</v>
      </c>
      <c r="C17" s="26"/>
      <c r="D17" s="27" t="str">
        <f>IF($B$32&gt;0,"┼─","│  ")</f>
        <v xml:space="preserve">│  </v>
      </c>
      <c r="E17" s="50"/>
      <c r="F17" s="2" t="str">
        <f>H19</f>
        <v/>
      </c>
      <c r="G17" s="1"/>
      <c r="H17" s="2" t="str">
        <f>IF(AND($B$30=3,$B$32&gt;0),"- - - XX - - -","")</f>
        <v/>
      </c>
      <c r="I17" s="1"/>
      <c r="J17" s="2" t="str">
        <f>H19</f>
        <v/>
      </c>
      <c r="K17" s="1"/>
      <c r="L17" s="2" t="str">
        <f>H17</f>
        <v/>
      </c>
      <c r="M17" s="1"/>
      <c r="N17" s="2" t="str">
        <f>H19</f>
        <v/>
      </c>
      <c r="P17" s="1" t="str">
        <f>H17</f>
        <v/>
      </c>
      <c r="Q17" s="51"/>
      <c r="R17" s="22"/>
    </row>
    <row r="18" spans="1:25" ht="13.5" thickBot="1" x14ac:dyDescent="0.25">
      <c r="A18" s="30"/>
      <c r="B18" s="198">
        <v>20</v>
      </c>
      <c r="C18" s="26"/>
      <c r="D18" s="27" t="str">
        <f>IF($B$32&gt;0,2,"│  ")</f>
        <v xml:space="preserve">│  </v>
      </c>
      <c r="E18" s="50"/>
      <c r="F18" s="2"/>
      <c r="G18" s="2"/>
      <c r="H18" s="2"/>
      <c r="I18" s="2"/>
      <c r="J18" s="2"/>
      <c r="K18" s="2"/>
      <c r="L18" s="2"/>
      <c r="M18" s="2"/>
      <c r="N18" s="2"/>
      <c r="P18" s="2"/>
      <c r="Q18" s="53"/>
      <c r="R18" s="22"/>
      <c r="S18" s="5" t="s">
        <v>6</v>
      </c>
      <c r="T18" s="5"/>
      <c r="U18" s="5" t="s">
        <v>7</v>
      </c>
      <c r="V18" s="5" t="s">
        <v>8</v>
      </c>
      <c r="W18" s="5" t="s">
        <v>27</v>
      </c>
      <c r="X18" s="5" t="s">
        <v>28</v>
      </c>
      <c r="Y18" s="5" t="s">
        <v>29</v>
      </c>
    </row>
    <row r="19" spans="1:25" ht="13.5" thickBot="1" x14ac:dyDescent="0.25">
      <c r="A19" s="30"/>
      <c r="B19" s="31" t="s">
        <v>36</v>
      </c>
      <c r="C19" s="26"/>
      <c r="D19" s="29" t="str">
        <f>IF($B$32&gt;0,"┼─","│  ")</f>
        <v xml:space="preserve">│  </v>
      </c>
      <c r="E19" s="52"/>
      <c r="F19" s="2" t="str">
        <f>IF(AND($B$30=3,$B$32&gt;0),"- - - XX - - -","")</f>
        <v/>
      </c>
      <c r="G19" s="2"/>
      <c r="H19" s="2" t="str">
        <f>IF(D18=2,"- - - - - - - - -","")</f>
        <v/>
      </c>
      <c r="I19" s="2"/>
      <c r="J19" s="2" t="str">
        <f>F19</f>
        <v/>
      </c>
      <c r="K19" s="2"/>
      <c r="L19" s="2" t="str">
        <f>H19</f>
        <v/>
      </c>
      <c r="M19" s="2"/>
      <c r="N19" s="2" t="str">
        <f>F19</f>
        <v/>
      </c>
      <c r="P19" s="2" t="str">
        <f>H19</f>
        <v/>
      </c>
      <c r="Q19" s="53"/>
      <c r="R19" s="22"/>
      <c r="S19" s="9">
        <v>1</v>
      </c>
      <c r="T19" s="2" t="s">
        <v>9</v>
      </c>
      <c r="U19" s="10">
        <v>10</v>
      </c>
      <c r="V19" s="11">
        <v>1</v>
      </c>
      <c r="W19" s="11">
        <v>2</v>
      </c>
      <c r="X19" s="11">
        <v>0</v>
      </c>
      <c r="Y19" s="11">
        <v>0</v>
      </c>
    </row>
    <row r="20" spans="1:25" ht="13.5" thickBot="1" x14ac:dyDescent="0.25">
      <c r="A20" s="30"/>
      <c r="B20" s="194">
        <v>16</v>
      </c>
      <c r="C20" s="26"/>
      <c r="D20" s="25" t="s">
        <v>25</v>
      </c>
      <c r="E20" s="54"/>
      <c r="F20" s="2"/>
      <c r="G20" s="2"/>
      <c r="H20" s="2"/>
      <c r="I20" s="2"/>
      <c r="J20" s="2"/>
      <c r="K20" s="2"/>
      <c r="L20" s="2"/>
      <c r="M20" s="2"/>
      <c r="N20" s="2"/>
      <c r="P20" s="2"/>
      <c r="Q20" s="53"/>
      <c r="R20" s="22"/>
      <c r="S20" s="9">
        <f>U19+0.5</f>
        <v>10.5</v>
      </c>
      <c r="T20" s="2" t="s">
        <v>9</v>
      </c>
      <c r="U20" s="10">
        <v>16</v>
      </c>
      <c r="V20" s="11">
        <v>1</v>
      </c>
      <c r="W20" s="11">
        <v>3</v>
      </c>
      <c r="X20" s="11">
        <v>0</v>
      </c>
      <c r="Y20" s="11">
        <v>0</v>
      </c>
    </row>
    <row r="21" spans="1:25" x14ac:dyDescent="0.2">
      <c r="A21" s="30"/>
      <c r="B21" s="24"/>
      <c r="C21" s="26"/>
      <c r="D21" s="27">
        <f>IF(B26=1,"│  ",(B16-SUM(D24:D26,D32:D36,D16:D18))/B26)</f>
        <v>6</v>
      </c>
      <c r="E21" s="50"/>
      <c r="F21" s="1"/>
      <c r="G21" s="1"/>
      <c r="H21" s="1"/>
      <c r="I21" s="1"/>
      <c r="J21" s="1"/>
      <c r="K21" s="1"/>
      <c r="L21" s="1"/>
      <c r="M21" s="1"/>
      <c r="N21" s="1"/>
      <c r="P21" s="1"/>
      <c r="Q21" s="51"/>
      <c r="R21" s="22"/>
      <c r="S21" s="9">
        <f t="shared" ref="S21:S23" si="0">U20+0.5</f>
        <v>16.5</v>
      </c>
      <c r="T21" s="2" t="s">
        <v>9</v>
      </c>
      <c r="U21" s="10">
        <v>21</v>
      </c>
      <c r="V21" s="11">
        <v>2</v>
      </c>
      <c r="W21" s="11">
        <v>3</v>
      </c>
      <c r="X21" s="11">
        <v>2</v>
      </c>
      <c r="Y21" s="11">
        <v>0</v>
      </c>
    </row>
    <row r="22" spans="1:25" x14ac:dyDescent="0.2">
      <c r="A22" s="30"/>
      <c r="B22" s="200"/>
      <c r="C22" s="26"/>
      <c r="D22" s="25" t="s">
        <v>25</v>
      </c>
      <c r="E22" s="54"/>
      <c r="F22" s="1"/>
      <c r="G22" s="1"/>
      <c r="H22" s="1"/>
      <c r="I22" s="6" t="str">
        <f>IF(B26="Contact Berger", "Contact Berger","")</f>
        <v/>
      </c>
      <c r="J22" s="1"/>
      <c r="K22" s="1"/>
      <c r="L22" s="1"/>
      <c r="M22" s="1"/>
      <c r="N22" s="1"/>
      <c r="P22" s="1"/>
      <c r="Q22" s="51"/>
      <c r="R22" s="22"/>
      <c r="S22" s="9">
        <f t="shared" si="0"/>
        <v>21.5</v>
      </c>
      <c r="T22" s="2" t="s">
        <v>9</v>
      </c>
      <c r="U22" s="10">
        <v>30</v>
      </c>
      <c r="V22" s="11">
        <v>2</v>
      </c>
      <c r="W22" s="11">
        <v>3</v>
      </c>
      <c r="X22" s="11">
        <v>3</v>
      </c>
      <c r="Y22" s="11">
        <v>0</v>
      </c>
    </row>
    <row r="23" spans="1:25" x14ac:dyDescent="0.2">
      <c r="A23" s="30"/>
      <c r="B23" s="22"/>
      <c r="C23" s="26"/>
      <c r="D23" s="29" t="str">
        <f>IF(AND($B$28&gt;0,$B$30&gt;2),"┼─","│  ")</f>
        <v xml:space="preserve">│  </v>
      </c>
      <c r="E23" s="52"/>
      <c r="F23" s="1" t="str">
        <f>IF(D24=2,"- - - - - - - - -","")</f>
        <v/>
      </c>
      <c r="G23" s="1"/>
      <c r="H23" s="2" t="str">
        <f>IF(AND($B$28=3,$B$30=3),"- - - XX - - -","")</f>
        <v/>
      </c>
      <c r="J23" s="1" t="str">
        <f>F23</f>
        <v/>
      </c>
      <c r="K23" s="1"/>
      <c r="L23" s="2" t="str">
        <f>H23</f>
        <v/>
      </c>
      <c r="M23" s="1"/>
      <c r="N23" s="1" t="str">
        <f>F23</f>
        <v/>
      </c>
      <c r="P23" s="1" t="str">
        <f>H23</f>
        <v/>
      </c>
      <c r="Q23" s="51"/>
      <c r="R23" s="22"/>
      <c r="S23" s="9">
        <f t="shared" si="0"/>
        <v>30.5</v>
      </c>
      <c r="T23" s="2" t="s">
        <v>9</v>
      </c>
      <c r="U23" s="10">
        <v>38</v>
      </c>
      <c r="V23" s="11">
        <v>3</v>
      </c>
      <c r="W23" s="11">
        <v>3</v>
      </c>
      <c r="X23" s="11">
        <v>3</v>
      </c>
      <c r="Y23" s="11">
        <v>2</v>
      </c>
    </row>
    <row r="24" spans="1:25" ht="13.5" thickBot="1" x14ac:dyDescent="0.25">
      <c r="A24" s="30"/>
      <c r="B24" s="22"/>
      <c r="C24" s="26"/>
      <c r="D24" s="27" t="str">
        <f>IF(AND($B$28&gt;0,$B$30&gt;2),2,"│  ")</f>
        <v xml:space="preserve">│  </v>
      </c>
      <c r="E24" s="50"/>
      <c r="F24" s="2"/>
      <c r="G24" s="2"/>
      <c r="H24" s="2"/>
      <c r="I24" s="2"/>
      <c r="J24" s="2"/>
      <c r="K24" s="2"/>
      <c r="L24" s="2"/>
      <c r="M24" s="2"/>
      <c r="N24" s="2"/>
      <c r="P24" s="2"/>
      <c r="Q24" s="53"/>
      <c r="R24" s="22"/>
      <c r="S24" s="9">
        <v>38.5</v>
      </c>
      <c r="T24" s="2" t="s">
        <v>9</v>
      </c>
      <c r="U24" s="10">
        <v>50</v>
      </c>
      <c r="V24" s="11">
        <v>3</v>
      </c>
      <c r="W24" s="11">
        <v>3</v>
      </c>
      <c r="X24" s="11">
        <v>3</v>
      </c>
      <c r="Y24" s="11">
        <v>3</v>
      </c>
    </row>
    <row r="25" spans="1:25" x14ac:dyDescent="0.2">
      <c r="A25" s="30"/>
      <c r="B25" s="28" t="s">
        <v>1</v>
      </c>
      <c r="C25" s="26"/>
      <c r="D25" s="27" t="str">
        <f>IF(AND($B$28&gt;0,$B$30&gt;0),"┼─","│  ")</f>
        <v>┼─</v>
      </c>
      <c r="E25" s="50"/>
      <c r="F25" s="2" t="str">
        <f>IF(AND($B$28=3,$B$30&gt;0),"- - - XX - - -","")</f>
        <v>- - - XX - - -</v>
      </c>
      <c r="G25" s="1"/>
      <c r="H25" s="1" t="str">
        <f>F27</f>
        <v>- - - - - - - - -</v>
      </c>
      <c r="I25" s="1"/>
      <c r="J25" s="2" t="str">
        <f>F25</f>
        <v>- - - XX - - -</v>
      </c>
      <c r="K25" s="1"/>
      <c r="L25" s="1" t="str">
        <f>F27</f>
        <v>- - - - - - - - -</v>
      </c>
      <c r="M25" s="1"/>
      <c r="N25" s="2" t="str">
        <f>F25</f>
        <v>- - - XX - - -</v>
      </c>
      <c r="P25" s="1" t="str">
        <f>F27</f>
        <v>- - - - - - - - -</v>
      </c>
      <c r="Q25" s="51"/>
      <c r="R25" s="22"/>
      <c r="S25" s="9"/>
      <c r="T25" s="2"/>
      <c r="U25" s="10"/>
      <c r="V25" s="11"/>
      <c r="W25" s="11"/>
      <c r="X25" s="11"/>
      <c r="Y25" s="11"/>
    </row>
    <row r="26" spans="1:25" ht="13.5" thickBot="1" x14ac:dyDescent="0.25">
      <c r="A26" s="30"/>
      <c r="B26" s="60">
        <f>VLOOKUP(B16,S19:Y27,4)</f>
        <v>2</v>
      </c>
      <c r="C26" s="26"/>
      <c r="D26" s="27">
        <f>IF(AND($B$28&gt;0,$B$30&gt;0),2,"│  ")</f>
        <v>2</v>
      </c>
      <c r="E26" s="50"/>
      <c r="F26" s="2"/>
      <c r="G26" s="2"/>
      <c r="H26" s="2"/>
      <c r="I26" s="2"/>
      <c r="J26" s="2"/>
      <c r="K26" s="2"/>
      <c r="L26" s="2"/>
      <c r="M26" s="2"/>
      <c r="N26" s="2"/>
      <c r="P26" s="2"/>
      <c r="Q26" s="53"/>
      <c r="R26" s="22"/>
      <c r="S26" s="9">
        <v>50.5</v>
      </c>
      <c r="T26" s="2" t="s">
        <v>9</v>
      </c>
      <c r="U26" s="10">
        <v>70</v>
      </c>
      <c r="V26" s="10" t="s">
        <v>10</v>
      </c>
      <c r="W26" s="10" t="s">
        <v>10</v>
      </c>
      <c r="X26" s="10" t="s">
        <v>10</v>
      </c>
      <c r="Y26" s="10" t="s">
        <v>10</v>
      </c>
    </row>
    <row r="27" spans="1:25" x14ac:dyDescent="0.2">
      <c r="A27" s="30"/>
      <c r="B27" s="32" t="s">
        <v>12</v>
      </c>
      <c r="C27" s="26"/>
      <c r="D27" s="29" t="str">
        <f>IF(AND($B$28&gt;0,$B$30&gt;0),"┼─","│  ")</f>
        <v>┼─</v>
      </c>
      <c r="E27" s="52"/>
      <c r="F27" s="2" t="str">
        <f>IF(D26=2,"- - - - - - - - -","")</f>
        <v>- - - - - - - - -</v>
      </c>
      <c r="G27" s="2"/>
      <c r="H27" s="2" t="str">
        <f>IF(AND($B$28=3,$B$30&gt;0),"- - - XX - - -","")</f>
        <v>- - - XX - - -</v>
      </c>
      <c r="I27" s="2"/>
      <c r="J27" s="2" t="str">
        <f>F27</f>
        <v>- - - - - - - - -</v>
      </c>
      <c r="K27" s="2"/>
      <c r="L27" s="2" t="str">
        <f>H27</f>
        <v>- - - XX - - -</v>
      </c>
      <c r="M27" s="2"/>
      <c r="N27" s="2" t="str">
        <f>F27</f>
        <v>- - - - - - - - -</v>
      </c>
      <c r="P27" s="2" t="str">
        <f>H27</f>
        <v>- - - XX - - -</v>
      </c>
      <c r="Q27" s="53"/>
      <c r="R27" s="22"/>
      <c r="S27" s="9">
        <f>U26+0.5</f>
        <v>70.5</v>
      </c>
      <c r="T27" s="2" t="s">
        <v>9</v>
      </c>
      <c r="U27" s="10">
        <v>100</v>
      </c>
      <c r="V27" s="10" t="s">
        <v>10</v>
      </c>
      <c r="W27" s="10" t="s">
        <v>10</v>
      </c>
      <c r="X27" s="10" t="s">
        <v>10</v>
      </c>
      <c r="Y27" s="10" t="s">
        <v>10</v>
      </c>
    </row>
    <row r="28" spans="1:25" x14ac:dyDescent="0.2">
      <c r="A28" s="30"/>
      <c r="B28" s="32">
        <f>VLOOKUP(B16,S19:Y27,5)</f>
        <v>3</v>
      </c>
      <c r="C28" s="26"/>
      <c r="D28" s="25" t="s">
        <v>25</v>
      </c>
      <c r="E28" s="54"/>
      <c r="F28" s="2"/>
      <c r="G28" s="2"/>
      <c r="H28" s="2"/>
      <c r="I28" s="2"/>
      <c r="J28" s="2"/>
      <c r="K28" s="2"/>
      <c r="L28" s="2"/>
      <c r="M28" s="2"/>
      <c r="N28" s="2"/>
      <c r="P28" s="2"/>
      <c r="Q28" s="53"/>
      <c r="R28" s="22"/>
      <c r="S28" s="1"/>
      <c r="T28" s="1"/>
      <c r="U28" s="8"/>
      <c r="V28" s="8"/>
      <c r="W28" s="8"/>
      <c r="X28" s="8"/>
    </row>
    <row r="29" spans="1:25" x14ac:dyDescent="0.2">
      <c r="A29" s="30"/>
      <c r="B29" s="33" t="s">
        <v>11</v>
      </c>
      <c r="C29" s="26"/>
      <c r="D29" s="27">
        <f>IF(B26=1,B16-SUM(D32:D36),(B16-SUM(D24:D26,D32:D36,D16:D18))/B26)</f>
        <v>6</v>
      </c>
      <c r="E29" s="50"/>
      <c r="F29" s="2"/>
      <c r="G29" s="2"/>
      <c r="H29" s="2"/>
      <c r="I29" s="2"/>
      <c r="J29" s="2"/>
      <c r="K29" s="2"/>
      <c r="L29" s="2"/>
      <c r="M29" s="2"/>
      <c r="N29" s="2"/>
      <c r="P29" s="2"/>
      <c r="Q29" s="53"/>
      <c r="R29" s="22"/>
      <c r="S29" s="1"/>
      <c r="T29" s="1"/>
      <c r="U29" s="1"/>
      <c r="V29" s="2" t="s">
        <v>14</v>
      </c>
      <c r="W29" s="1">
        <f>B18/(B20/12)/2</f>
        <v>7.5</v>
      </c>
      <c r="X29" s="1"/>
    </row>
    <row r="30" spans="1:25" x14ac:dyDescent="0.2">
      <c r="A30" s="30"/>
      <c r="B30" s="61">
        <f>VLOOKUP(B16,S19:Y27,6)</f>
        <v>2</v>
      </c>
      <c r="C30" s="26"/>
      <c r="D30" s="34" t="s">
        <v>25</v>
      </c>
      <c r="E30" s="55"/>
      <c r="F30" s="2"/>
      <c r="G30" s="2"/>
      <c r="H30" s="2"/>
      <c r="I30" s="2"/>
      <c r="J30" s="2"/>
      <c r="K30" s="2"/>
      <c r="L30" s="2"/>
      <c r="M30" s="2"/>
      <c r="N30" s="2"/>
      <c r="P30" s="2"/>
      <c r="Q30" s="53"/>
      <c r="R30" s="22"/>
      <c r="S30" s="7"/>
      <c r="T30" s="7"/>
      <c r="U30" s="7"/>
      <c r="V30" s="7"/>
      <c r="W30" s="7"/>
      <c r="X30" s="7"/>
    </row>
    <row r="31" spans="1:25" x14ac:dyDescent="0.2">
      <c r="A31" s="30"/>
      <c r="B31" s="33" t="s">
        <v>26</v>
      </c>
      <c r="C31" s="26"/>
      <c r="D31" s="35" t="str">
        <f>IF($B$28=3,"┼─","│  ")</f>
        <v>┼─</v>
      </c>
      <c r="E31" s="56"/>
      <c r="F31" s="2" t="str">
        <f>IF($B$28=3,"- - - XX - - -","")</f>
        <v>- - - XX - - -</v>
      </c>
      <c r="G31" s="2"/>
      <c r="H31" s="2" t="str">
        <f>IF(D32=2,"- - - - - - - - -","")</f>
        <v>- - - - - - - - -</v>
      </c>
      <c r="I31" s="2"/>
      <c r="J31" s="2" t="str">
        <f>F31</f>
        <v>- - - XX - - -</v>
      </c>
      <c r="K31" s="2"/>
      <c r="L31" s="2" t="str">
        <f>H31</f>
        <v>- - - - - - - - -</v>
      </c>
      <c r="M31" s="2"/>
      <c r="N31" s="2" t="str">
        <f>F31</f>
        <v>- - - XX - - -</v>
      </c>
      <c r="P31" s="2" t="str">
        <f>H31</f>
        <v>- - - - - - - - -</v>
      </c>
      <c r="Q31" s="53"/>
      <c r="R31" s="22"/>
      <c r="S31" s="1"/>
      <c r="T31" s="1"/>
      <c r="U31" s="1"/>
      <c r="V31" s="1"/>
      <c r="W31" s="1"/>
      <c r="X31" s="1"/>
    </row>
    <row r="32" spans="1:25" ht="13.5" thickBot="1" x14ac:dyDescent="0.25">
      <c r="A32" s="30"/>
      <c r="B32" s="60">
        <f>VLOOKUP(B16,S19:Y27,7)</f>
        <v>0</v>
      </c>
      <c r="C32" s="26"/>
      <c r="D32" s="27">
        <f>IF($B$28=3,2,"│  ")</f>
        <v>2</v>
      </c>
      <c r="E32" s="50"/>
      <c r="F32" s="2"/>
      <c r="G32" s="2"/>
      <c r="H32" s="2"/>
      <c r="I32" s="2"/>
      <c r="J32" s="2"/>
      <c r="K32" s="2"/>
      <c r="L32" s="2"/>
      <c r="M32" s="2"/>
      <c r="N32" s="2"/>
      <c r="P32" s="2"/>
      <c r="Q32" s="53"/>
      <c r="R32" s="22"/>
      <c r="S32" s="7"/>
      <c r="T32" s="7"/>
      <c r="U32" s="7"/>
      <c r="V32" s="7"/>
      <c r="W32" s="7"/>
      <c r="X32" s="7"/>
    </row>
    <row r="33" spans="1:24" ht="13.5" thickBot="1" x14ac:dyDescent="0.25">
      <c r="A33" s="30"/>
      <c r="B33" s="22"/>
      <c r="C33" s="26"/>
      <c r="D33" s="37" t="s">
        <v>22</v>
      </c>
      <c r="E33" s="57"/>
      <c r="F33" s="2" t="str">
        <f>IF(D34=2,"- - - - - - - - -","")</f>
        <v>- - - - - - - - -</v>
      </c>
      <c r="G33" s="2"/>
      <c r="H33" s="2" t="str">
        <f>IF(OR($B$28=2,$B$28=3),"- - - XX - - -","")</f>
        <v>- - - XX - - -</v>
      </c>
      <c r="I33" s="2"/>
      <c r="J33" s="2" t="str">
        <f>F33</f>
        <v>- - - - - - - - -</v>
      </c>
      <c r="K33" s="2"/>
      <c r="L33" s="2" t="str">
        <f>H33</f>
        <v>- - - XX - - -</v>
      </c>
      <c r="M33" s="2"/>
      <c r="N33" s="2" t="str">
        <f>F33</f>
        <v>- - - - - - - - -</v>
      </c>
      <c r="P33" s="2" t="str">
        <f>H33</f>
        <v>- - - XX - - -</v>
      </c>
      <c r="Q33" s="53"/>
      <c r="R33" s="22"/>
      <c r="S33" s="1"/>
      <c r="T33" s="1"/>
      <c r="U33" s="1"/>
      <c r="V33" s="1"/>
      <c r="W33" s="1"/>
      <c r="X33" s="1"/>
    </row>
    <row r="34" spans="1:24" x14ac:dyDescent="0.2">
      <c r="A34" s="22"/>
      <c r="B34" s="28" t="s">
        <v>18</v>
      </c>
      <c r="C34" s="22"/>
      <c r="D34" s="27">
        <v>2</v>
      </c>
      <c r="E34" s="50"/>
      <c r="F34" s="2"/>
      <c r="G34" s="2"/>
      <c r="H34" s="2"/>
      <c r="I34" s="2"/>
      <c r="J34" s="2"/>
      <c r="K34" s="2"/>
      <c r="L34" s="2"/>
      <c r="M34" s="2"/>
      <c r="N34" s="2"/>
      <c r="P34" s="2"/>
      <c r="Q34" s="53"/>
      <c r="R34" s="22"/>
      <c r="S34" s="7"/>
      <c r="T34" s="7"/>
      <c r="U34" s="7"/>
      <c r="V34" s="7"/>
      <c r="W34" s="7"/>
      <c r="X34" s="7"/>
    </row>
    <row r="35" spans="1:24" ht="13.5" thickBot="1" x14ac:dyDescent="0.25">
      <c r="A35" s="22"/>
      <c r="B35" s="36">
        <f>ROUNDUP(W29*(B28+B30+B32),0)</f>
        <v>38</v>
      </c>
      <c r="C35" s="22"/>
      <c r="D35" s="25" t="s">
        <v>22</v>
      </c>
      <c r="E35" s="54"/>
      <c r="F35" s="2" t="str">
        <f>IF(OR($B$28=2,$B$28=3),"- - - XX - - - ","")</f>
        <v xml:space="preserve">- - - XX - - - </v>
      </c>
      <c r="G35" s="2"/>
      <c r="H35" s="2" t="str">
        <f>IF(D36=2,"- - - - - - - - -","")</f>
        <v>- - - - - - - - -</v>
      </c>
      <c r="I35" s="2"/>
      <c r="J35" s="2" t="str">
        <f>F35</f>
        <v xml:space="preserve">- - - XX - - - </v>
      </c>
      <c r="K35" s="2"/>
      <c r="L35" s="2" t="str">
        <f>H35</f>
        <v>- - - - - - - - -</v>
      </c>
      <c r="M35" s="2"/>
      <c r="N35" s="2" t="str">
        <f>F35</f>
        <v xml:space="preserve">- - - XX - - - </v>
      </c>
      <c r="P35" s="2" t="str">
        <f>H35</f>
        <v>- - - - - - - - -</v>
      </c>
      <c r="Q35" s="53"/>
      <c r="R35" s="22"/>
      <c r="S35" s="3"/>
      <c r="T35" s="3"/>
      <c r="U35" s="3"/>
      <c r="V35" s="3"/>
      <c r="W35" s="3"/>
      <c r="X35" s="3"/>
    </row>
    <row r="36" spans="1:24" x14ac:dyDescent="0.2">
      <c r="A36" s="22"/>
      <c r="B36" s="28" t="s">
        <v>2</v>
      </c>
      <c r="C36" s="22"/>
      <c r="D36" s="27">
        <v>2</v>
      </c>
      <c r="E36" s="50"/>
      <c r="F36" s="2"/>
      <c r="G36" s="2"/>
      <c r="H36" s="2"/>
      <c r="I36" s="2"/>
      <c r="J36" s="2"/>
      <c r="K36" s="2"/>
      <c r="L36" s="2"/>
      <c r="M36" s="2"/>
      <c r="N36" s="2"/>
      <c r="O36" s="2"/>
      <c r="P36" s="2"/>
      <c r="Q36" s="53"/>
      <c r="R36" s="22"/>
    </row>
    <row r="37" spans="1:24" ht="13.5" thickBot="1" x14ac:dyDescent="0.25">
      <c r="A37" s="22"/>
      <c r="B37" s="62">
        <f>B16*B18/100</f>
        <v>4</v>
      </c>
      <c r="C37" s="22"/>
      <c r="D37" s="25" t="s">
        <v>24</v>
      </c>
      <c r="E37" s="58"/>
      <c r="F37" s="4"/>
      <c r="G37" s="4"/>
      <c r="H37" s="4"/>
      <c r="I37" s="4"/>
      <c r="J37" s="4"/>
      <c r="K37" s="4"/>
      <c r="L37" s="4"/>
      <c r="M37" s="4"/>
      <c r="N37" s="4"/>
      <c r="O37" s="4"/>
      <c r="P37" s="4"/>
      <c r="Q37" s="59"/>
      <c r="R37" s="22"/>
      <c r="S37" s="2"/>
      <c r="T37" s="2"/>
      <c r="U37" s="2"/>
      <c r="V37" s="2"/>
      <c r="W37" s="2"/>
      <c r="X37" s="2"/>
    </row>
    <row r="38" spans="1:24" x14ac:dyDescent="0.2">
      <c r="A38" s="22"/>
      <c r="B38" s="31" t="s">
        <v>3</v>
      </c>
      <c r="C38" s="22"/>
      <c r="D38" s="26"/>
      <c r="E38" s="26"/>
      <c r="F38" s="38">
        <f>$B$20</f>
        <v>16</v>
      </c>
      <c r="G38" s="38" t="s">
        <v>21</v>
      </c>
      <c r="H38" s="38">
        <f t="shared" ref="H38:P38" si="1">$B$20</f>
        <v>16</v>
      </c>
      <c r="I38" s="38" t="s">
        <v>21</v>
      </c>
      <c r="J38" s="38">
        <f t="shared" si="1"/>
        <v>16</v>
      </c>
      <c r="K38" s="38" t="s">
        <v>21</v>
      </c>
      <c r="L38" s="38">
        <f t="shared" si="1"/>
        <v>16</v>
      </c>
      <c r="M38" s="38" t="s">
        <v>21</v>
      </c>
      <c r="N38" s="38">
        <f t="shared" si="1"/>
        <v>16</v>
      </c>
      <c r="O38" s="38" t="s">
        <v>21</v>
      </c>
      <c r="P38" s="38">
        <f t="shared" si="1"/>
        <v>16</v>
      </c>
      <c r="Q38" s="63" t="s">
        <v>30</v>
      </c>
      <c r="R38" s="22"/>
      <c r="S38" s="1"/>
      <c r="T38" s="1"/>
      <c r="U38" s="1"/>
      <c r="V38" s="1"/>
      <c r="W38" s="1"/>
      <c r="X38" s="1"/>
    </row>
    <row r="39" spans="1:24" ht="13.5" thickBot="1" x14ac:dyDescent="0.25">
      <c r="A39" s="22"/>
      <c r="B39" s="64">
        <f>ROUNDUP(B35/B37,0)</f>
        <v>10</v>
      </c>
      <c r="C39" s="22"/>
      <c r="D39" s="22"/>
      <c r="E39" s="22"/>
      <c r="F39" s="26"/>
      <c r="G39" s="26"/>
      <c r="H39" s="26"/>
      <c r="I39" s="26"/>
      <c r="J39" s="22"/>
      <c r="K39" s="26"/>
      <c r="L39" s="39"/>
      <c r="M39" s="26"/>
      <c r="N39" s="22"/>
      <c r="O39" s="26"/>
      <c r="P39" s="22"/>
      <c r="Q39" s="22"/>
      <c r="R39" s="22"/>
    </row>
    <row r="40" spans="1:24" x14ac:dyDescent="0.2">
      <c r="A40" s="22"/>
      <c r="B40" s="22"/>
      <c r="C40" s="22"/>
      <c r="D40" s="22"/>
      <c r="E40" s="22"/>
      <c r="F40" s="23"/>
      <c r="G40" s="22"/>
      <c r="H40" s="22"/>
      <c r="I40" s="22"/>
      <c r="J40" s="22"/>
      <c r="K40" s="24" t="s">
        <v>0</v>
      </c>
      <c r="L40" s="22"/>
      <c r="M40" s="22"/>
      <c r="N40" s="22"/>
      <c r="O40" s="22"/>
      <c r="P40" s="22"/>
      <c r="Q40" s="22"/>
      <c r="R40" s="22"/>
    </row>
    <row r="41" spans="1:24" x14ac:dyDescent="0.2">
      <c r="A41" s="22"/>
      <c r="B41" s="22"/>
      <c r="C41" s="22"/>
      <c r="D41" s="22"/>
      <c r="E41" s="22"/>
      <c r="F41" s="23"/>
      <c r="G41" s="22"/>
      <c r="H41" s="22"/>
      <c r="I41" s="22"/>
      <c r="J41" s="22"/>
      <c r="K41" s="24"/>
      <c r="L41" s="22"/>
      <c r="M41" s="22"/>
      <c r="N41" s="22"/>
      <c r="O41" s="22"/>
      <c r="P41" s="22"/>
      <c r="Q41" s="22"/>
      <c r="R41" s="22"/>
    </row>
    <row r="42" spans="1:24" x14ac:dyDescent="0.2">
      <c r="A42" s="22"/>
      <c r="B42" s="22"/>
      <c r="C42" s="22"/>
      <c r="D42" s="22"/>
      <c r="E42" s="22"/>
      <c r="F42" s="22"/>
      <c r="G42" s="22"/>
      <c r="H42" s="22"/>
      <c r="I42" s="22"/>
      <c r="J42" s="22"/>
      <c r="K42" s="22"/>
      <c r="L42" s="22"/>
      <c r="M42" s="22"/>
      <c r="N42" s="22"/>
      <c r="O42" s="22"/>
      <c r="P42" s="22"/>
      <c r="Q42" s="22"/>
      <c r="R42" s="22"/>
    </row>
    <row r="43" spans="1:24" x14ac:dyDescent="0.2">
      <c r="A43" s="22"/>
      <c r="B43" s="210" t="s">
        <v>70</v>
      </c>
      <c r="C43" s="210"/>
      <c r="D43" s="210"/>
      <c r="E43" s="210"/>
      <c r="F43" s="210"/>
      <c r="G43" s="210"/>
      <c r="H43" s="210"/>
      <c r="I43" s="210"/>
      <c r="J43" s="210"/>
      <c r="K43" s="210"/>
      <c r="L43" s="210"/>
      <c r="M43" s="210"/>
      <c r="N43" s="210"/>
      <c r="O43" s="210"/>
      <c r="P43" s="210"/>
      <c r="Q43" s="210"/>
      <c r="R43" s="22"/>
    </row>
    <row r="44" spans="1:24" x14ac:dyDescent="0.2">
      <c r="A44" s="22"/>
      <c r="B44" s="210"/>
      <c r="C44" s="210"/>
      <c r="D44" s="210"/>
      <c r="E44" s="210"/>
      <c r="F44" s="210"/>
      <c r="G44" s="210"/>
      <c r="H44" s="210"/>
      <c r="I44" s="210"/>
      <c r="J44" s="210"/>
      <c r="K44" s="210"/>
      <c r="L44" s="210"/>
      <c r="M44" s="210"/>
      <c r="N44" s="210"/>
      <c r="O44" s="210"/>
      <c r="P44" s="210"/>
      <c r="Q44" s="210"/>
      <c r="R44" s="22"/>
    </row>
    <row r="45" spans="1:24" x14ac:dyDescent="0.2">
      <c r="A45" s="22"/>
      <c r="B45" s="210"/>
      <c r="C45" s="210"/>
      <c r="D45" s="210"/>
      <c r="E45" s="210"/>
      <c r="F45" s="210"/>
      <c r="G45" s="210"/>
      <c r="H45" s="210"/>
      <c r="I45" s="210"/>
      <c r="J45" s="210"/>
      <c r="K45" s="210"/>
      <c r="L45" s="210"/>
      <c r="M45" s="210"/>
      <c r="N45" s="210"/>
      <c r="O45" s="210"/>
      <c r="P45" s="210"/>
      <c r="Q45" s="210"/>
      <c r="R45" s="22"/>
    </row>
    <row r="46" spans="1:24" x14ac:dyDescent="0.2">
      <c r="A46" s="22"/>
      <c r="B46" s="210"/>
      <c r="C46" s="210"/>
      <c r="D46" s="210"/>
      <c r="E46" s="210"/>
      <c r="F46" s="210"/>
      <c r="G46" s="210"/>
      <c r="H46" s="210"/>
      <c r="I46" s="210"/>
      <c r="J46" s="210"/>
      <c r="K46" s="210"/>
      <c r="L46" s="210"/>
      <c r="M46" s="210"/>
      <c r="N46" s="210"/>
      <c r="O46" s="210"/>
      <c r="P46" s="210"/>
      <c r="Q46" s="210"/>
      <c r="R46" s="22"/>
    </row>
    <row r="47" spans="1:24" x14ac:dyDescent="0.2">
      <c r="A47" s="22"/>
      <c r="B47" s="210"/>
      <c r="C47" s="210"/>
      <c r="D47" s="210"/>
      <c r="E47" s="210"/>
      <c r="F47" s="210"/>
      <c r="G47" s="210"/>
      <c r="H47" s="210"/>
      <c r="I47" s="210"/>
      <c r="J47" s="210"/>
      <c r="K47" s="210"/>
      <c r="L47" s="210"/>
      <c r="M47" s="210"/>
      <c r="N47" s="210"/>
      <c r="O47" s="210"/>
      <c r="P47" s="210"/>
      <c r="Q47" s="210"/>
      <c r="R47" s="22"/>
    </row>
    <row r="48" spans="1:24" x14ac:dyDescent="0.2">
      <c r="A48" s="22"/>
      <c r="B48" s="210"/>
      <c r="C48" s="210"/>
      <c r="D48" s="210"/>
      <c r="E48" s="210"/>
      <c r="F48" s="210"/>
      <c r="G48" s="210"/>
      <c r="H48" s="210"/>
      <c r="I48" s="210"/>
      <c r="J48" s="210"/>
      <c r="K48" s="210"/>
      <c r="L48" s="210"/>
      <c r="M48" s="210"/>
      <c r="N48" s="210"/>
      <c r="O48" s="210"/>
      <c r="P48" s="210"/>
      <c r="Q48" s="210"/>
      <c r="R48" s="22"/>
    </row>
    <row r="49" spans="1:18" x14ac:dyDescent="0.2">
      <c r="A49" s="22"/>
      <c r="B49" s="210"/>
      <c r="C49" s="210"/>
      <c r="D49" s="210"/>
      <c r="E49" s="210"/>
      <c r="F49" s="210"/>
      <c r="G49" s="210"/>
      <c r="H49" s="210"/>
      <c r="I49" s="210"/>
      <c r="J49" s="210"/>
      <c r="K49" s="210"/>
      <c r="L49" s="210"/>
      <c r="M49" s="210"/>
      <c r="N49" s="210"/>
      <c r="O49" s="210"/>
      <c r="P49" s="210"/>
      <c r="Q49" s="210"/>
      <c r="R49" s="22"/>
    </row>
  </sheetData>
  <sheetProtection algorithmName="SHA-512" hashValue="dpwk9/6/FS8YDAVvpin6ocXHOHwKOVCW1ZwtNl0qA0xkbqQJqXzASdz1y+MODL+D0wBx+ZBP9VJjMcrL4qVZUw==" saltValue="BIEvILjb7U8hzIy1LzaDCQ==" spinCount="100000" sheet="1" objects="1" scenarios="1" selectLockedCells="1"/>
  <mergeCells count="1">
    <mergeCell ref="B43:Q49"/>
  </mergeCells>
  <pageMargins left="0.75" right="0.75" top="1" bottom="1" header="0.5" footer="0.5"/>
  <pageSetup scale="70" orientation="portrait" blackAndWhite="1" r:id="rId1"/>
  <headerFooter alignWithMargins="0">
    <oddHeader>&amp;LSnow Guard Calculator&amp;R&amp;D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52"/>
  <sheetViews>
    <sheetView view="pageBreakPreview" zoomScale="59" zoomScaleNormal="100" zoomScaleSheetLayoutView="59" workbookViewId="0">
      <selection activeCell="B5" sqref="B5"/>
    </sheetView>
  </sheetViews>
  <sheetFormatPr defaultRowHeight="12.75" x14ac:dyDescent="0.2"/>
  <cols>
    <col min="1" max="1" width="12.28515625" customWidth="1"/>
    <col min="2" max="2" width="9.28515625" bestFit="1" customWidth="1"/>
    <col min="5" max="5" width="8.85546875" customWidth="1"/>
    <col min="6" max="6" width="3.28515625" customWidth="1"/>
    <col min="8" max="8" width="3.28515625" customWidth="1"/>
    <col min="10" max="10" width="3.28515625" customWidth="1"/>
    <col min="12" max="12" width="3.28515625" customWidth="1"/>
    <col min="14" max="14" width="3.28515625" customWidth="1"/>
    <col min="16" max="16" width="3.28515625" customWidth="1"/>
  </cols>
  <sheetData>
    <row r="1" spans="1:18" x14ac:dyDescent="0.2">
      <c r="A1" s="22"/>
      <c r="B1" s="22"/>
      <c r="C1" s="22"/>
      <c r="D1" s="22"/>
      <c r="E1" s="22"/>
      <c r="F1" s="22"/>
      <c r="G1" s="22"/>
      <c r="H1" s="22"/>
      <c r="I1" s="22"/>
      <c r="J1" s="22"/>
      <c r="K1" s="22"/>
      <c r="L1" s="22"/>
      <c r="M1" s="22"/>
      <c r="N1" s="22"/>
      <c r="O1" s="22"/>
      <c r="P1" s="22"/>
      <c r="Q1" s="22"/>
      <c r="R1" s="22"/>
    </row>
    <row r="2" spans="1:18" x14ac:dyDescent="0.2">
      <c r="A2" s="22"/>
      <c r="B2" s="22"/>
      <c r="C2" s="22"/>
      <c r="D2" s="22"/>
      <c r="E2" s="22"/>
      <c r="F2" s="22"/>
      <c r="G2" s="22"/>
      <c r="H2" s="22"/>
      <c r="I2" s="22"/>
      <c r="J2" s="22"/>
      <c r="K2" s="22"/>
      <c r="L2" s="22"/>
      <c r="M2" s="22"/>
      <c r="N2" s="22"/>
      <c r="O2" s="22"/>
      <c r="P2" s="22"/>
      <c r="Q2" s="22"/>
      <c r="R2" s="22"/>
    </row>
    <row r="3" spans="1:18" x14ac:dyDescent="0.2">
      <c r="A3" s="22"/>
      <c r="B3" s="22"/>
      <c r="C3" s="22"/>
      <c r="D3" s="22"/>
      <c r="E3" s="22"/>
      <c r="F3" s="22"/>
      <c r="G3" s="22"/>
      <c r="H3" s="22"/>
      <c r="I3" s="22"/>
      <c r="J3" s="22"/>
      <c r="K3" s="22"/>
      <c r="L3" s="22"/>
      <c r="M3" s="22"/>
      <c r="N3" s="22"/>
      <c r="O3" s="22"/>
      <c r="P3" s="22"/>
      <c r="Q3" s="22"/>
      <c r="R3" s="22"/>
    </row>
    <row r="4" spans="1:18" x14ac:dyDescent="0.2">
      <c r="A4" s="22"/>
      <c r="B4" s="22"/>
      <c r="C4" s="22"/>
      <c r="D4" s="22"/>
      <c r="E4" s="22"/>
      <c r="F4" s="22"/>
      <c r="G4" s="22"/>
      <c r="H4" s="22"/>
      <c r="I4" s="22"/>
      <c r="J4" s="22"/>
      <c r="K4" s="22"/>
      <c r="L4" s="22"/>
      <c r="M4" s="22"/>
      <c r="N4" s="22"/>
      <c r="O4" s="22"/>
      <c r="P4" s="22"/>
      <c r="Q4" s="22"/>
      <c r="R4" s="22"/>
    </row>
    <row r="5" spans="1:18" x14ac:dyDescent="0.2">
      <c r="A5" s="22" t="s">
        <v>32</v>
      </c>
      <c r="B5" s="191"/>
      <c r="C5" s="22"/>
      <c r="D5" s="22"/>
      <c r="E5" s="22"/>
      <c r="F5" s="22"/>
      <c r="G5" s="22"/>
      <c r="H5" s="22"/>
      <c r="I5" s="22"/>
      <c r="J5" s="22"/>
      <c r="K5" s="22"/>
      <c r="L5" s="22"/>
      <c r="M5" s="22"/>
      <c r="N5" s="22"/>
      <c r="O5" s="22"/>
      <c r="P5" s="22"/>
      <c r="Q5" s="22"/>
      <c r="R5" s="22"/>
    </row>
    <row r="6" spans="1:18" x14ac:dyDescent="0.2">
      <c r="A6" s="22" t="s">
        <v>33</v>
      </c>
      <c r="B6" s="40">
        <f ca="1">TODAY()</f>
        <v>45467</v>
      </c>
      <c r="C6" s="22"/>
      <c r="D6" s="22"/>
      <c r="E6" s="22"/>
      <c r="F6" s="22"/>
      <c r="G6" s="22"/>
      <c r="H6" s="22"/>
      <c r="I6" s="22"/>
      <c r="J6" s="22"/>
      <c r="K6" s="22"/>
      <c r="L6" s="22"/>
      <c r="M6" s="22"/>
      <c r="N6" s="22"/>
      <c r="O6" s="22"/>
      <c r="P6" s="22"/>
      <c r="Q6" s="22"/>
      <c r="R6" s="22"/>
    </row>
    <row r="7" spans="1:18" x14ac:dyDescent="0.2">
      <c r="A7" s="22" t="s">
        <v>34</v>
      </c>
      <c r="B7" s="191"/>
      <c r="C7" s="22"/>
      <c r="D7" s="22"/>
      <c r="E7" s="22"/>
      <c r="F7" s="22"/>
      <c r="G7" s="22"/>
      <c r="H7" s="22"/>
      <c r="I7" s="22"/>
      <c r="J7" s="22"/>
      <c r="K7" s="22"/>
      <c r="L7" s="22"/>
      <c r="M7" s="22"/>
      <c r="N7" s="22"/>
      <c r="O7" s="22"/>
      <c r="P7" s="22"/>
      <c r="Q7" s="22"/>
      <c r="R7" s="22"/>
    </row>
    <row r="8" spans="1:18" x14ac:dyDescent="0.2">
      <c r="A8" s="22"/>
      <c r="B8" s="23"/>
      <c r="C8" s="22"/>
      <c r="D8" s="22"/>
      <c r="E8" s="22"/>
      <c r="F8" s="22"/>
      <c r="G8" s="22"/>
      <c r="H8" s="22"/>
      <c r="I8" s="22"/>
      <c r="J8" s="22"/>
      <c r="K8" s="22"/>
      <c r="L8" s="22"/>
      <c r="M8" s="22"/>
      <c r="N8" s="22"/>
      <c r="O8" s="22"/>
      <c r="P8" s="22"/>
      <c r="Q8" s="22"/>
      <c r="R8" s="22"/>
    </row>
    <row r="9" spans="1:18" x14ac:dyDescent="0.2">
      <c r="A9" s="22"/>
      <c r="B9" s="23" t="s">
        <v>4</v>
      </c>
      <c r="C9" s="22"/>
      <c r="D9" s="22"/>
      <c r="E9" s="22"/>
      <c r="F9" s="22"/>
      <c r="G9" s="22"/>
      <c r="H9" s="22"/>
      <c r="I9" s="22"/>
      <c r="J9" s="22"/>
      <c r="K9" s="22"/>
      <c r="L9" s="22"/>
      <c r="M9" s="22"/>
      <c r="N9" s="22"/>
      <c r="O9" s="22"/>
      <c r="P9" s="22"/>
      <c r="Q9" s="22"/>
      <c r="R9" s="22"/>
    </row>
    <row r="10" spans="1:18" x14ac:dyDescent="0.2">
      <c r="A10" s="22"/>
      <c r="B10" s="23" t="s">
        <v>15</v>
      </c>
      <c r="C10" s="22"/>
      <c r="D10" s="22"/>
      <c r="E10" s="22"/>
      <c r="F10" s="22"/>
      <c r="G10" s="22"/>
      <c r="H10" s="22"/>
      <c r="I10" s="22"/>
      <c r="J10" s="22"/>
      <c r="K10" s="22"/>
      <c r="L10" s="22"/>
      <c r="M10" s="22"/>
      <c r="N10" s="22"/>
      <c r="O10" s="22"/>
      <c r="P10" s="22"/>
      <c r="Q10" s="22"/>
      <c r="R10" s="22"/>
    </row>
    <row r="11" spans="1:18" x14ac:dyDescent="0.2">
      <c r="A11" s="22"/>
      <c r="B11" s="23" t="s">
        <v>72</v>
      </c>
      <c r="C11" s="22"/>
      <c r="D11" s="22"/>
      <c r="E11" s="22"/>
      <c r="F11" s="22"/>
      <c r="G11" s="22"/>
      <c r="H11" s="22"/>
      <c r="I11" s="22"/>
      <c r="J11" s="22"/>
      <c r="K11" s="24" t="s">
        <v>5</v>
      </c>
      <c r="L11" s="22"/>
      <c r="M11" s="22"/>
      <c r="N11" s="22"/>
      <c r="O11" s="22"/>
      <c r="P11" s="22"/>
      <c r="Q11" s="22"/>
      <c r="R11" s="22"/>
    </row>
    <row r="12" spans="1:18" x14ac:dyDescent="0.2">
      <c r="A12" s="22"/>
      <c r="B12" s="23" t="s">
        <v>17</v>
      </c>
      <c r="C12" s="22"/>
      <c r="D12" s="22"/>
      <c r="E12" s="22"/>
      <c r="F12" s="22"/>
      <c r="G12" s="22"/>
      <c r="H12" s="22"/>
      <c r="I12" s="22"/>
      <c r="J12" s="22"/>
      <c r="K12" s="24"/>
      <c r="L12" s="22"/>
      <c r="M12" s="22"/>
      <c r="N12" s="22"/>
      <c r="O12" s="22"/>
      <c r="P12" s="22"/>
      <c r="Q12" s="22"/>
      <c r="R12" s="22"/>
    </row>
    <row r="13" spans="1:18" ht="13.5" thickBot="1" x14ac:dyDescent="0.25">
      <c r="A13" s="22"/>
      <c r="B13" s="23"/>
      <c r="C13" s="22"/>
      <c r="D13" s="22"/>
      <c r="E13" s="22"/>
      <c r="F13" s="22"/>
      <c r="G13" s="22"/>
      <c r="H13" s="22"/>
      <c r="I13" s="22"/>
      <c r="J13" s="22"/>
      <c r="K13" s="24"/>
      <c r="L13" s="22"/>
      <c r="M13" s="22"/>
      <c r="N13" s="22"/>
      <c r="O13" s="22"/>
      <c r="P13" s="22"/>
      <c r="Q13" s="22"/>
      <c r="R13" s="22"/>
    </row>
    <row r="14" spans="1:18" x14ac:dyDescent="0.2">
      <c r="A14" s="22"/>
      <c r="B14" s="22"/>
      <c r="C14" s="22"/>
      <c r="D14" s="25" t="s">
        <v>23</v>
      </c>
      <c r="E14" s="125"/>
      <c r="F14" s="126"/>
      <c r="G14" s="126"/>
      <c r="H14" s="126"/>
      <c r="I14" s="126"/>
      <c r="J14" s="126"/>
      <c r="K14" s="126"/>
      <c r="L14" s="126"/>
      <c r="M14" s="126"/>
      <c r="N14" s="126"/>
      <c r="O14" s="126"/>
      <c r="P14" s="126"/>
      <c r="Q14" s="127"/>
      <c r="R14" s="22"/>
    </row>
    <row r="15" spans="1:18" x14ac:dyDescent="0.2">
      <c r="A15" s="22"/>
      <c r="B15" s="22"/>
      <c r="C15" s="26"/>
      <c r="D15" s="27" t="str">
        <f>IF(B27=3,(B17-SUM(D17:D19,D25:D27,D33:D37))/B27,"│  ")</f>
        <v xml:space="preserve">│  </v>
      </c>
      <c r="E15" s="128"/>
      <c r="F15" s="1"/>
      <c r="G15" s="1"/>
      <c r="H15" s="1"/>
      <c r="I15" s="1"/>
      <c r="J15" s="1"/>
      <c r="K15" s="1"/>
      <c r="L15" s="1"/>
      <c r="M15" s="1"/>
      <c r="N15" s="1"/>
      <c r="P15" s="1"/>
      <c r="Q15" s="129"/>
      <c r="R15" s="22"/>
    </row>
    <row r="16" spans="1:18" ht="13.5" thickBot="1" x14ac:dyDescent="0.25">
      <c r="A16" s="22"/>
      <c r="B16" s="31" t="s">
        <v>13</v>
      </c>
      <c r="C16" s="26"/>
      <c r="D16" s="29" t="str">
        <f>IF($B$33=3,"┼─","│  ")</f>
        <v xml:space="preserve">│  </v>
      </c>
      <c r="E16" s="130" t="str">
        <f>IF(D17=2,"- - - - - - -","")</f>
        <v/>
      </c>
      <c r="F16" s="2" t="str">
        <f>IF(AND($B$31=3,$B$33=3),"XX","")</f>
        <v/>
      </c>
      <c r="G16" s="123" t="str">
        <f>E16</f>
        <v/>
      </c>
      <c r="H16" s="8" t="str">
        <f>E16</f>
        <v/>
      </c>
      <c r="I16" s="123" t="str">
        <f>E16</f>
        <v/>
      </c>
      <c r="J16" s="2" t="str">
        <f>F16</f>
        <v/>
      </c>
      <c r="K16" s="123" t="str">
        <f>E16</f>
        <v/>
      </c>
      <c r="L16" s="8" t="str">
        <f>E16</f>
        <v/>
      </c>
      <c r="M16" s="123" t="str">
        <f>E16</f>
        <v/>
      </c>
      <c r="N16" s="2" t="str">
        <f>F16</f>
        <v/>
      </c>
      <c r="O16" s="131" t="str">
        <f>E16</f>
        <v/>
      </c>
      <c r="P16" s="123" t="str">
        <f>E16</f>
        <v/>
      </c>
      <c r="Q16" s="132" t="str">
        <f>E16</f>
        <v/>
      </c>
      <c r="R16" s="22"/>
    </row>
    <row r="17" spans="1:25" ht="13.5" thickBot="1" x14ac:dyDescent="0.25">
      <c r="A17" s="22"/>
      <c r="B17" s="193">
        <v>18</v>
      </c>
      <c r="C17" s="26"/>
      <c r="D17" s="27" t="str">
        <f>IF($B$33=3,2,"│  ")</f>
        <v xml:space="preserve">│  </v>
      </c>
      <c r="E17" s="128"/>
      <c r="F17" s="2"/>
      <c r="G17" s="2"/>
      <c r="H17" s="2"/>
      <c r="I17" s="2"/>
      <c r="J17" s="2"/>
      <c r="K17" s="2"/>
      <c r="L17" s="2"/>
      <c r="M17" s="2"/>
      <c r="N17" s="2"/>
      <c r="P17" s="2"/>
      <c r="Q17" s="133"/>
      <c r="R17" s="22"/>
    </row>
    <row r="18" spans="1:25" ht="13.5" thickBot="1" x14ac:dyDescent="0.25">
      <c r="A18" s="30"/>
      <c r="B18" s="28" t="s">
        <v>19</v>
      </c>
      <c r="C18" s="26"/>
      <c r="D18" s="27" t="str">
        <f>IF($B$33&gt;0,"┼─","│  ")</f>
        <v xml:space="preserve">│  </v>
      </c>
      <c r="E18" s="128" t="str">
        <f>IF(D19=2,"- - - - - - -","")</f>
        <v/>
      </c>
      <c r="F18" s="2" t="str">
        <f>IF(AND($B$31=2,$B$33&gt;0),"XX",IF(D19=2,"- - - - - - - - -",""))</f>
        <v/>
      </c>
      <c r="G18" s="124" t="str">
        <f>E18</f>
        <v/>
      </c>
      <c r="H18" s="2" t="str">
        <f>IF(AND($B$31=3,$B$33&gt;0),"XX",IF(D19=2,"- - - - - - - - -",""))</f>
        <v/>
      </c>
      <c r="I18" s="124" t="str">
        <f>E18</f>
        <v/>
      </c>
      <c r="J18" s="2" t="str">
        <f>F18</f>
        <v/>
      </c>
      <c r="K18" s="124" t="str">
        <f>E18</f>
        <v/>
      </c>
      <c r="L18" s="2" t="str">
        <f>H18</f>
        <v/>
      </c>
      <c r="M18" s="124" t="str">
        <f>E18</f>
        <v/>
      </c>
      <c r="N18" s="2" t="str">
        <f>F18</f>
        <v/>
      </c>
      <c r="O18" s="134" t="str">
        <f>E18</f>
        <v/>
      </c>
      <c r="P18" s="1" t="str">
        <f>H18</f>
        <v/>
      </c>
      <c r="Q18" s="135" t="str">
        <f>E18</f>
        <v/>
      </c>
      <c r="R18" s="22"/>
    </row>
    <row r="19" spans="1:25" ht="13.5" thickBot="1" x14ac:dyDescent="0.25">
      <c r="A19" s="30"/>
      <c r="B19" s="193">
        <v>71</v>
      </c>
      <c r="C19" s="26"/>
      <c r="D19" s="27" t="str">
        <f>IF($B$33&gt;0,2,"│  ")</f>
        <v xml:space="preserve">│  </v>
      </c>
      <c r="E19" s="128"/>
      <c r="F19" s="2"/>
      <c r="G19" s="2"/>
      <c r="H19" s="2"/>
      <c r="I19" s="2"/>
      <c r="J19" s="2"/>
      <c r="K19" s="2"/>
      <c r="L19" s="2"/>
      <c r="M19" s="2"/>
      <c r="N19" s="2"/>
      <c r="P19" s="2"/>
      <c r="Q19" s="133"/>
      <c r="R19" s="22"/>
      <c r="S19" s="5" t="s">
        <v>6</v>
      </c>
      <c r="T19" s="5"/>
      <c r="U19" s="5" t="s">
        <v>7</v>
      </c>
      <c r="V19" s="5" t="s">
        <v>8</v>
      </c>
      <c r="W19" s="5" t="s">
        <v>27</v>
      </c>
      <c r="X19" s="5" t="s">
        <v>28</v>
      </c>
      <c r="Y19" s="5" t="s">
        <v>29</v>
      </c>
    </row>
    <row r="20" spans="1:25" ht="13.5" thickBot="1" x14ac:dyDescent="0.25">
      <c r="A20" s="30"/>
      <c r="B20" s="31" t="s">
        <v>36</v>
      </c>
      <c r="C20" s="26"/>
      <c r="D20" s="29" t="str">
        <f>IF($B$33&gt;0,"┼─","│  ")</f>
        <v xml:space="preserve">│  </v>
      </c>
      <c r="E20" s="130" t="str">
        <f>E18</f>
        <v/>
      </c>
      <c r="F20" s="2" t="str">
        <f>IF(AND($B$31=3,$B$33&gt;0),"XX",IF(D19=2,"- - - - - - - - -",""))</f>
        <v/>
      </c>
      <c r="G20" s="9" t="str">
        <f>E18</f>
        <v/>
      </c>
      <c r="H20" s="2" t="str">
        <f>IF(AND($B$31=2,$B$33&gt;0),"XX",IF(D19=2,"- - - - - - - - -",""))</f>
        <v/>
      </c>
      <c r="I20" s="9" t="str">
        <f>E18</f>
        <v/>
      </c>
      <c r="J20" s="2" t="str">
        <f>F20</f>
        <v/>
      </c>
      <c r="K20" s="9" t="str">
        <f>E18</f>
        <v/>
      </c>
      <c r="L20" s="2" t="str">
        <f>H20</f>
        <v/>
      </c>
      <c r="M20" s="9" t="str">
        <f>E18</f>
        <v/>
      </c>
      <c r="N20" s="2" t="str">
        <f>F20</f>
        <v/>
      </c>
      <c r="O20" s="134" t="str">
        <f>E18</f>
        <v/>
      </c>
      <c r="P20" s="2" t="str">
        <f>H20</f>
        <v/>
      </c>
      <c r="Q20" s="136" t="str">
        <f>E18</f>
        <v/>
      </c>
      <c r="R20" s="22"/>
      <c r="S20" s="9">
        <v>1</v>
      </c>
      <c r="T20" s="2" t="s">
        <v>9</v>
      </c>
      <c r="U20" s="10">
        <v>12</v>
      </c>
      <c r="V20" s="11">
        <v>1</v>
      </c>
      <c r="W20" s="11">
        <v>2</v>
      </c>
      <c r="X20" s="11">
        <v>0</v>
      </c>
      <c r="Y20" s="11">
        <v>0</v>
      </c>
    </row>
    <row r="21" spans="1:25" ht="13.5" thickBot="1" x14ac:dyDescent="0.25">
      <c r="A21" s="30"/>
      <c r="B21" s="194">
        <v>30</v>
      </c>
      <c r="C21" s="26"/>
      <c r="D21" s="25" t="s">
        <v>25</v>
      </c>
      <c r="E21" s="137"/>
      <c r="F21" s="2"/>
      <c r="G21" s="2"/>
      <c r="H21" s="2"/>
      <c r="I21" s="2"/>
      <c r="J21" s="2"/>
      <c r="K21" s="2"/>
      <c r="L21" s="2"/>
      <c r="M21" s="2"/>
      <c r="N21" s="2"/>
      <c r="P21" s="2"/>
      <c r="Q21" s="133"/>
      <c r="R21" s="22"/>
      <c r="S21" s="9">
        <f>U20+0.5</f>
        <v>12.5</v>
      </c>
      <c r="T21" s="2" t="s">
        <v>9</v>
      </c>
      <c r="U21" s="10">
        <v>24</v>
      </c>
      <c r="V21" s="11">
        <v>2</v>
      </c>
      <c r="W21" s="11">
        <v>2</v>
      </c>
      <c r="X21" s="11">
        <v>2</v>
      </c>
      <c r="Y21" s="11">
        <v>0</v>
      </c>
    </row>
    <row r="22" spans="1:25" x14ac:dyDescent="0.2">
      <c r="A22" s="30"/>
      <c r="B22" s="24"/>
      <c r="C22" s="26"/>
      <c r="D22" s="27">
        <f>IF(B27=1,"│  ",(B17-SUM(D25:D27,D33:D37,D17:D19))/B27)</f>
        <v>6</v>
      </c>
      <c r="E22" s="128"/>
      <c r="F22" s="1"/>
      <c r="G22" s="1"/>
      <c r="H22" s="1"/>
      <c r="I22" s="1"/>
      <c r="J22" s="1"/>
      <c r="K22" s="1"/>
      <c r="L22" s="1"/>
      <c r="M22" s="1"/>
      <c r="N22" s="1"/>
      <c r="P22" s="1"/>
      <c r="Q22" s="129"/>
      <c r="R22" s="22"/>
      <c r="S22" s="9">
        <f t="shared" ref="S22:S24" si="0">U21+0.5</f>
        <v>24.5</v>
      </c>
      <c r="T22" s="2" t="s">
        <v>9</v>
      </c>
      <c r="U22" s="10">
        <v>36</v>
      </c>
      <c r="V22" s="11">
        <v>3</v>
      </c>
      <c r="W22" s="11">
        <v>2</v>
      </c>
      <c r="X22" s="11">
        <v>2</v>
      </c>
      <c r="Y22" s="11">
        <v>2</v>
      </c>
    </row>
    <row r="23" spans="1:25" x14ac:dyDescent="0.2">
      <c r="A23" s="30"/>
      <c r="B23" s="200"/>
      <c r="C23" s="26"/>
      <c r="D23" s="25" t="s">
        <v>25</v>
      </c>
      <c r="E23" s="137"/>
      <c r="F23" s="1"/>
      <c r="G23" s="1"/>
      <c r="H23" s="1"/>
      <c r="I23" s="6" t="str">
        <f>IF(B27="Contact Berger", "Contact Berger","")</f>
        <v/>
      </c>
      <c r="J23" s="1"/>
      <c r="K23" s="1"/>
      <c r="L23" s="1"/>
      <c r="M23" s="1"/>
      <c r="N23" s="1"/>
      <c r="P23" s="1"/>
      <c r="Q23" s="129"/>
      <c r="R23" s="22"/>
      <c r="S23" s="9">
        <f t="shared" si="0"/>
        <v>36.5</v>
      </c>
      <c r="T23" s="2" t="s">
        <v>9</v>
      </c>
      <c r="U23" s="10">
        <v>37</v>
      </c>
      <c r="V23" s="11">
        <v>3</v>
      </c>
      <c r="W23" s="11">
        <v>3</v>
      </c>
      <c r="X23" s="11">
        <v>2</v>
      </c>
      <c r="Y23" s="11">
        <v>2</v>
      </c>
    </row>
    <row r="24" spans="1:25" x14ac:dyDescent="0.2">
      <c r="A24" s="30"/>
      <c r="B24" s="22"/>
      <c r="C24" s="26"/>
      <c r="D24" s="29" t="str">
        <f>IF(AND($B$29&gt;0,$B$31&gt;2),"┼─","│  ")</f>
        <v xml:space="preserve">│  </v>
      </c>
      <c r="E24" s="130" t="str">
        <f>IF(D25=2,"- - - - - - -","")</f>
        <v/>
      </c>
      <c r="F24" s="123" t="str">
        <f>E24</f>
        <v/>
      </c>
      <c r="G24" s="123" t="str">
        <f>E24</f>
        <v/>
      </c>
      <c r="H24" s="2" t="str">
        <f>IF(AND($B$29=3,$B$31=3),"XX","")</f>
        <v/>
      </c>
      <c r="I24" s="131" t="str">
        <f>E24</f>
        <v/>
      </c>
      <c r="J24" s="123" t="str">
        <f>E24</f>
        <v/>
      </c>
      <c r="K24" s="123" t="str">
        <f>E24</f>
        <v/>
      </c>
      <c r="L24" s="2" t="str">
        <f>H24</f>
        <v/>
      </c>
      <c r="M24" s="123" t="str">
        <f>E24</f>
        <v/>
      </c>
      <c r="N24" s="123" t="str">
        <f>E24</f>
        <v/>
      </c>
      <c r="O24" s="134" t="str">
        <f>E24</f>
        <v/>
      </c>
      <c r="P24" s="1" t="str">
        <f>H24</f>
        <v/>
      </c>
      <c r="Q24" s="132" t="str">
        <f>E24</f>
        <v/>
      </c>
      <c r="R24" s="22"/>
      <c r="S24" s="9">
        <f t="shared" si="0"/>
        <v>37.5</v>
      </c>
      <c r="T24" s="2" t="s">
        <v>9</v>
      </c>
      <c r="U24" s="10">
        <v>40</v>
      </c>
      <c r="V24" s="11">
        <v>3</v>
      </c>
      <c r="W24" s="11">
        <v>3</v>
      </c>
      <c r="X24" s="11">
        <v>3</v>
      </c>
      <c r="Y24" s="11">
        <v>2</v>
      </c>
    </row>
    <row r="25" spans="1:25" x14ac:dyDescent="0.2">
      <c r="A25" s="30"/>
      <c r="B25" s="22"/>
      <c r="C25" s="26"/>
      <c r="D25" s="27" t="str">
        <f>IF(AND($B$29&gt;0,$B$31&gt;2),2,"│  ")</f>
        <v xml:space="preserve">│  </v>
      </c>
      <c r="E25" s="128"/>
      <c r="F25" s="2"/>
      <c r="G25" s="2"/>
      <c r="H25" s="2"/>
      <c r="I25" s="2"/>
      <c r="J25" s="2"/>
      <c r="K25" s="2"/>
      <c r="L25" s="2"/>
      <c r="M25" s="2"/>
      <c r="N25" s="2"/>
      <c r="P25" s="2"/>
      <c r="Q25" s="133"/>
      <c r="R25" s="22"/>
      <c r="S25" s="9">
        <v>40.5</v>
      </c>
      <c r="T25" s="2" t="s">
        <v>9</v>
      </c>
      <c r="U25" s="10">
        <v>50</v>
      </c>
      <c r="V25" s="11">
        <v>3</v>
      </c>
      <c r="W25" s="11">
        <v>3</v>
      </c>
      <c r="X25" s="11">
        <v>3</v>
      </c>
      <c r="Y25" s="11">
        <v>3</v>
      </c>
    </row>
    <row r="26" spans="1:25" ht="13.5" thickBot="1" x14ac:dyDescent="0.25">
      <c r="A26" s="30"/>
      <c r="B26" s="31" t="s">
        <v>1</v>
      </c>
      <c r="C26" s="26"/>
      <c r="D26" s="27" t="str">
        <f>IF(AND($B$29&gt;0,$B$31&gt;0),"┼─","│  ")</f>
        <v>┼─</v>
      </c>
      <c r="E26" s="128" t="str">
        <f>E28</f>
        <v>- - - - - - -</v>
      </c>
      <c r="F26" s="2" t="str">
        <f>IF(AND($B$29=3,$B$31&gt;0),"XX",IF(D27=2,"- - - - - - - - -",""))</f>
        <v>- - - - - - - - -</v>
      </c>
      <c r="G26" s="123" t="str">
        <f>E28</f>
        <v>- - - - - - -</v>
      </c>
      <c r="H26" s="1" t="str">
        <f>IF(AND($B$29=2,$B$31&gt;0),"XX",IF(D27=2,"- - - - - - - - -",""))</f>
        <v>XX</v>
      </c>
      <c r="I26" s="124" t="str">
        <f>E26</f>
        <v>- - - - - - -</v>
      </c>
      <c r="J26" s="2" t="str">
        <f>F26</f>
        <v>- - - - - - - - -</v>
      </c>
      <c r="K26" s="124" t="str">
        <f>E26</f>
        <v>- - - - - - -</v>
      </c>
      <c r="L26" s="1" t="str">
        <f>H26</f>
        <v>XX</v>
      </c>
      <c r="M26" s="124" t="str">
        <f>E26</f>
        <v>- - - - - - -</v>
      </c>
      <c r="N26" s="2" t="str">
        <f>F26</f>
        <v>- - - - - - - - -</v>
      </c>
      <c r="O26" s="134" t="str">
        <f>E26</f>
        <v>- - - - - - -</v>
      </c>
      <c r="P26" s="1" t="str">
        <f>H26</f>
        <v>XX</v>
      </c>
      <c r="Q26" s="135" t="str">
        <f>E26</f>
        <v>- - - - - - -</v>
      </c>
      <c r="R26" s="22"/>
      <c r="S26" s="9"/>
      <c r="T26" s="2"/>
      <c r="U26" s="10"/>
      <c r="V26" s="11"/>
      <c r="W26" s="11"/>
      <c r="X26" s="11"/>
      <c r="Y26" s="11"/>
    </row>
    <row r="27" spans="1:25" ht="13.5" thickBot="1" x14ac:dyDescent="0.25">
      <c r="A27" s="30"/>
      <c r="B27" s="172">
        <f>VLOOKUP(B17,S20:Y28,4)</f>
        <v>2</v>
      </c>
      <c r="C27" s="26"/>
      <c r="D27" s="27">
        <f>IF(AND($B$29&gt;0,$B$31&gt;0),2,"│  ")</f>
        <v>2</v>
      </c>
      <c r="E27" s="128"/>
      <c r="F27" s="2"/>
      <c r="G27" s="2"/>
      <c r="H27" s="2"/>
      <c r="I27" s="2"/>
      <c r="J27" s="2"/>
      <c r="K27" s="2"/>
      <c r="L27" s="2"/>
      <c r="M27" s="2"/>
      <c r="N27" s="2"/>
      <c r="P27" s="2"/>
      <c r="Q27" s="133"/>
      <c r="R27" s="22"/>
      <c r="S27" s="9">
        <v>50.5</v>
      </c>
      <c r="T27" s="2" t="s">
        <v>9</v>
      </c>
      <c r="U27" s="10">
        <v>70</v>
      </c>
      <c r="V27" s="10" t="s">
        <v>10</v>
      </c>
      <c r="W27" s="10" t="s">
        <v>10</v>
      </c>
      <c r="X27" s="10" t="s">
        <v>10</v>
      </c>
      <c r="Y27" s="10" t="s">
        <v>10</v>
      </c>
    </row>
    <row r="28" spans="1:25" ht="13.5" thickBot="1" x14ac:dyDescent="0.25">
      <c r="A28" s="30"/>
      <c r="B28" s="32" t="s">
        <v>12</v>
      </c>
      <c r="C28" s="26"/>
      <c r="D28" s="29" t="str">
        <f>IF(AND($B$29&gt;0,$B$31&gt;0),"┼─","│  ")</f>
        <v>┼─</v>
      </c>
      <c r="E28" s="130" t="str">
        <f>IF(D27=2,"- - - - - - -","")</f>
        <v>- - - - - - -</v>
      </c>
      <c r="F28" s="2" t="str">
        <f>IF(AND($B$29=2,$B$31&gt;0),"XX",IF(D27=2,"- - - - - - - - -",""))</f>
        <v>XX</v>
      </c>
      <c r="G28" s="8" t="str">
        <f>E28</f>
        <v>- - - - - - -</v>
      </c>
      <c r="H28" s="2" t="str">
        <f>IF(AND($B$29=3,$B$31&gt;0),"XX",IF(D27=2,"- - - - - - - - -",""))</f>
        <v>- - - - - - - - -</v>
      </c>
      <c r="I28" s="8" t="str">
        <f>E28</f>
        <v>- - - - - - -</v>
      </c>
      <c r="J28" s="2" t="str">
        <f>F28</f>
        <v>XX</v>
      </c>
      <c r="K28" s="8" t="str">
        <f>E28</f>
        <v>- - - - - - -</v>
      </c>
      <c r="L28" s="2" t="str">
        <f>H28</f>
        <v>- - - - - - - - -</v>
      </c>
      <c r="M28" s="8" t="str">
        <f>E28</f>
        <v>- - - - - - -</v>
      </c>
      <c r="N28" s="2" t="str">
        <f>F28</f>
        <v>XX</v>
      </c>
      <c r="O28" s="131" t="str">
        <f>E28</f>
        <v>- - - - - - -</v>
      </c>
      <c r="P28" s="2" t="str">
        <f>H28</f>
        <v>- - - - - - - - -</v>
      </c>
      <c r="Q28" s="138" t="str">
        <f>E28</f>
        <v>- - - - - - -</v>
      </c>
      <c r="R28" s="22"/>
      <c r="S28" s="9">
        <f>U27+0.5</f>
        <v>70.5</v>
      </c>
      <c r="T28" s="2" t="s">
        <v>9</v>
      </c>
      <c r="U28" s="10">
        <v>100</v>
      </c>
      <c r="V28" s="10" t="s">
        <v>10</v>
      </c>
      <c r="W28" s="10" t="s">
        <v>10</v>
      </c>
      <c r="X28" s="10" t="s">
        <v>10</v>
      </c>
      <c r="Y28" s="10" t="s">
        <v>10</v>
      </c>
    </row>
    <row r="29" spans="1:25" ht="13.5" thickBot="1" x14ac:dyDescent="0.25">
      <c r="A29" s="30"/>
      <c r="B29" s="173">
        <f>VLOOKUP(B17,S20:Y28,5)</f>
        <v>2</v>
      </c>
      <c r="C29" s="26"/>
      <c r="D29" s="25" t="s">
        <v>25</v>
      </c>
      <c r="E29" s="137"/>
      <c r="F29" s="2"/>
      <c r="G29" s="2"/>
      <c r="H29" s="2"/>
      <c r="I29" s="2"/>
      <c r="J29" s="2"/>
      <c r="K29" s="2"/>
      <c r="L29" s="2"/>
      <c r="M29" s="2"/>
      <c r="N29" s="2"/>
      <c r="P29" s="2"/>
      <c r="Q29" s="133"/>
      <c r="R29" s="22"/>
      <c r="S29" s="1"/>
      <c r="T29" s="1"/>
      <c r="U29" s="8"/>
      <c r="V29" s="8"/>
      <c r="W29" s="8"/>
      <c r="X29" s="8"/>
    </row>
    <row r="30" spans="1:25" ht="13.5" thickBot="1" x14ac:dyDescent="0.25">
      <c r="A30" s="30"/>
      <c r="B30" s="33" t="s">
        <v>11</v>
      </c>
      <c r="C30" s="26"/>
      <c r="D30" s="27">
        <f>IF(B27=1,B17-SUM(D33:D37),(B17-SUM(D25:D27,D33:D37,D17:D19))/B27)</f>
        <v>6</v>
      </c>
      <c r="E30" s="128"/>
      <c r="F30" s="2"/>
      <c r="G30" s="2"/>
      <c r="H30" s="2"/>
      <c r="I30" s="2"/>
      <c r="J30" s="2"/>
      <c r="K30" s="2"/>
      <c r="L30" s="2"/>
      <c r="M30" s="2"/>
      <c r="N30" s="2"/>
      <c r="P30" s="2"/>
      <c r="Q30" s="133"/>
      <c r="R30" s="22"/>
      <c r="S30" s="1"/>
      <c r="T30" s="1"/>
      <c r="U30" s="1"/>
      <c r="V30" s="2" t="s">
        <v>14</v>
      </c>
      <c r="W30" s="1">
        <f>B19/(B21/12)/2</f>
        <v>14.2</v>
      </c>
      <c r="X30" s="1"/>
    </row>
    <row r="31" spans="1:25" ht="13.5" thickBot="1" x14ac:dyDescent="0.25">
      <c r="A31" s="30"/>
      <c r="B31" s="172">
        <f>VLOOKUP(B17,S20:Y28,6)</f>
        <v>2</v>
      </c>
      <c r="C31" s="26"/>
      <c r="D31" s="34" t="s">
        <v>25</v>
      </c>
      <c r="E31" s="139"/>
      <c r="F31" s="2"/>
      <c r="G31" s="2"/>
      <c r="H31" s="2"/>
      <c r="I31" s="2"/>
      <c r="J31" s="2"/>
      <c r="K31" s="2"/>
      <c r="L31" s="2"/>
      <c r="M31" s="2"/>
      <c r="N31" s="2"/>
      <c r="P31" s="2"/>
      <c r="Q31" s="133"/>
      <c r="R31" s="22"/>
      <c r="S31" s="7"/>
      <c r="T31" s="7"/>
      <c r="U31" s="7"/>
      <c r="V31" s="7"/>
      <c r="W31" s="7"/>
      <c r="X31" s="7"/>
    </row>
    <row r="32" spans="1:25" ht="13.5" thickBot="1" x14ac:dyDescent="0.25">
      <c r="A32" s="30"/>
      <c r="B32" s="33" t="s">
        <v>26</v>
      </c>
      <c r="C32" s="26"/>
      <c r="D32" s="35" t="str">
        <f>IF($B$29=3,"┼─","│  ")</f>
        <v xml:space="preserve">│  </v>
      </c>
      <c r="E32" s="140" t="str">
        <f>IF(D33=2,"- - - - - - -","")</f>
        <v/>
      </c>
      <c r="F32" s="2" t="str">
        <f>IF($B$29=3,"XX","")</f>
        <v/>
      </c>
      <c r="G32" s="8" t="str">
        <f>E32</f>
        <v/>
      </c>
      <c r="H32" s="8" t="str">
        <f>E32</f>
        <v/>
      </c>
      <c r="I32" s="8" t="str">
        <f>E32</f>
        <v/>
      </c>
      <c r="J32" s="2" t="str">
        <f>F32</f>
        <v/>
      </c>
      <c r="K32" s="8" t="str">
        <f>E32</f>
        <v/>
      </c>
      <c r="L32" s="8" t="str">
        <f>E32</f>
        <v/>
      </c>
      <c r="M32" s="8" t="str">
        <f>E32</f>
        <v/>
      </c>
      <c r="N32" s="2" t="str">
        <f>F32</f>
        <v/>
      </c>
      <c r="O32" s="131" t="str">
        <f>E32</f>
        <v/>
      </c>
      <c r="P32" s="8" t="str">
        <f>E32</f>
        <v/>
      </c>
      <c r="Q32" s="138" t="str">
        <f>E32</f>
        <v/>
      </c>
      <c r="R32" s="22"/>
      <c r="S32" s="1"/>
      <c r="T32" s="1"/>
      <c r="U32" s="1"/>
      <c r="V32" s="1"/>
      <c r="W32" s="1"/>
      <c r="X32" s="1"/>
    </row>
    <row r="33" spans="1:24" ht="13.5" thickBot="1" x14ac:dyDescent="0.25">
      <c r="A33" s="30"/>
      <c r="B33" s="172">
        <f>VLOOKUP(B17,S20:Y28,7)</f>
        <v>0</v>
      </c>
      <c r="C33" s="26"/>
      <c r="D33" s="27" t="str">
        <f>IF($B$29=3,2,"│  ")</f>
        <v xml:space="preserve">│  </v>
      </c>
      <c r="E33" s="128"/>
      <c r="F33" s="2"/>
      <c r="G33" s="2"/>
      <c r="H33" s="2"/>
      <c r="I33" s="2"/>
      <c r="J33" s="2"/>
      <c r="K33" s="2"/>
      <c r="L33" s="2"/>
      <c r="M33" s="2"/>
      <c r="N33" s="2"/>
      <c r="P33" s="2"/>
      <c r="Q33" s="133"/>
      <c r="R33" s="22"/>
      <c r="S33" s="7"/>
      <c r="T33" s="7"/>
      <c r="U33" s="7"/>
      <c r="V33" s="7"/>
      <c r="W33" s="7"/>
      <c r="X33" s="7"/>
    </row>
    <row r="34" spans="1:24" x14ac:dyDescent="0.2">
      <c r="A34" s="30"/>
      <c r="B34" s="22"/>
      <c r="C34" s="26"/>
      <c r="D34" s="37" t="s">
        <v>22</v>
      </c>
      <c r="E34" s="141" t="str">
        <f>E36</f>
        <v>- - - - - - -</v>
      </c>
      <c r="F34" s="2" t="str">
        <f>E36</f>
        <v>- - - - - - -</v>
      </c>
      <c r="G34" s="2" t="str">
        <f>E36</f>
        <v>- - - - - - -</v>
      </c>
      <c r="H34" s="2" t="str">
        <f>IF(OR($B$29=2,$B$29=3),"XX","")</f>
        <v>XX</v>
      </c>
      <c r="I34" s="2" t="str">
        <f>E36</f>
        <v>- - - - - - -</v>
      </c>
      <c r="J34" s="2" t="str">
        <f>E36</f>
        <v>- - - - - - -</v>
      </c>
      <c r="K34" s="2" t="str">
        <f>E36</f>
        <v>- - - - - - -</v>
      </c>
      <c r="L34" s="2" t="str">
        <f>H34</f>
        <v>XX</v>
      </c>
      <c r="M34" s="2" t="str">
        <f>E36</f>
        <v>- - - - - - -</v>
      </c>
      <c r="N34" s="2" t="str">
        <f>E36</f>
        <v>- - - - - - -</v>
      </c>
      <c r="O34" t="str">
        <f>E36</f>
        <v>- - - - - - -</v>
      </c>
      <c r="P34" s="2" t="str">
        <f>H34</f>
        <v>XX</v>
      </c>
      <c r="Q34" s="133" t="str">
        <f>E36</f>
        <v>- - - - - - -</v>
      </c>
      <c r="R34" s="22"/>
      <c r="S34" s="1"/>
      <c r="T34" s="1"/>
      <c r="U34" s="1"/>
      <c r="V34" s="1"/>
      <c r="W34" s="1"/>
      <c r="X34" s="1"/>
    </row>
    <row r="35" spans="1:24" ht="13.5" thickBot="1" x14ac:dyDescent="0.25">
      <c r="A35" s="22"/>
      <c r="B35" s="31" t="s">
        <v>18</v>
      </c>
      <c r="C35" s="22"/>
      <c r="D35" s="27">
        <v>2</v>
      </c>
      <c r="E35" s="128"/>
      <c r="F35" s="2"/>
      <c r="G35" s="2"/>
      <c r="H35" s="2"/>
      <c r="I35" s="2"/>
      <c r="J35" s="2"/>
      <c r="K35" s="2"/>
      <c r="L35" s="2"/>
      <c r="M35" s="2"/>
      <c r="N35" s="2"/>
      <c r="P35" s="2"/>
      <c r="Q35" s="133"/>
      <c r="R35" s="22"/>
      <c r="S35" s="7"/>
      <c r="T35" s="7"/>
      <c r="U35" s="7"/>
      <c r="V35" s="7"/>
      <c r="W35" s="7"/>
      <c r="X35" s="7"/>
    </row>
    <row r="36" spans="1:24" ht="13.5" thickBot="1" x14ac:dyDescent="0.25">
      <c r="A36" s="22"/>
      <c r="B36" s="187">
        <f>ROUNDUP(W30*(B29+B31+B33),0)</f>
        <v>57</v>
      </c>
      <c r="C36" s="22"/>
      <c r="D36" s="25" t="s">
        <v>22</v>
      </c>
      <c r="E36" s="137" t="str">
        <f>IF(D37=2,"- - - - - - -","")</f>
        <v>- - - - - - -</v>
      </c>
      <c r="F36" s="2" t="str">
        <f>IF(OR($B$29=2,$B$29=3),"XX","")</f>
        <v>XX</v>
      </c>
      <c r="G36" s="2" t="str">
        <f>E36</f>
        <v>- - - - - - -</v>
      </c>
      <c r="H36" s="2" t="str">
        <f>E36</f>
        <v>- - - - - - -</v>
      </c>
      <c r="I36" s="2" t="str">
        <f>E36</f>
        <v>- - - - - - -</v>
      </c>
      <c r="J36" s="2" t="str">
        <f>F36</f>
        <v>XX</v>
      </c>
      <c r="K36" s="2" t="str">
        <f>E36</f>
        <v>- - - - - - -</v>
      </c>
      <c r="L36" s="2" t="str">
        <f>E36</f>
        <v>- - - - - - -</v>
      </c>
      <c r="M36" s="2" t="str">
        <f>E36</f>
        <v>- - - - - - -</v>
      </c>
      <c r="N36" s="2" t="str">
        <f>F36</f>
        <v>XX</v>
      </c>
      <c r="O36" t="str">
        <f>E36</f>
        <v>- - - - - - -</v>
      </c>
      <c r="P36" s="2" t="str">
        <f>E36</f>
        <v>- - - - - - -</v>
      </c>
      <c r="Q36" s="133" t="str">
        <f>E36</f>
        <v>- - - - - - -</v>
      </c>
      <c r="R36" s="22"/>
      <c r="S36" s="3"/>
      <c r="T36" s="3"/>
      <c r="U36" s="3"/>
      <c r="V36" s="3"/>
      <c r="W36" s="3"/>
      <c r="X36" s="3"/>
    </row>
    <row r="37" spans="1:24" ht="13.5" thickBot="1" x14ac:dyDescent="0.25">
      <c r="A37" s="22"/>
      <c r="B37" s="28" t="s">
        <v>2</v>
      </c>
      <c r="C37" s="22"/>
      <c r="D37" s="27">
        <v>2</v>
      </c>
      <c r="E37" s="128"/>
      <c r="F37" s="2"/>
      <c r="G37" s="2"/>
      <c r="H37" s="2"/>
      <c r="I37" s="2"/>
      <c r="J37" s="2"/>
      <c r="K37" s="2"/>
      <c r="L37" s="2"/>
      <c r="M37" s="2"/>
      <c r="N37" s="2"/>
      <c r="O37" s="2"/>
      <c r="P37" s="2"/>
      <c r="Q37" s="133"/>
      <c r="R37" s="22"/>
    </row>
    <row r="38" spans="1:24" ht="13.5" thickBot="1" x14ac:dyDescent="0.25">
      <c r="A38" s="22"/>
      <c r="B38" s="188">
        <f>B17*B19/100</f>
        <v>12.78</v>
      </c>
      <c r="C38" s="22"/>
      <c r="D38" s="25" t="s">
        <v>24</v>
      </c>
      <c r="E38" s="142"/>
      <c r="F38" s="4"/>
      <c r="G38" s="4"/>
      <c r="H38" s="4"/>
      <c r="I38" s="4"/>
      <c r="J38" s="4"/>
      <c r="K38" s="4"/>
      <c r="L38" s="4"/>
      <c r="M38" s="4"/>
      <c r="N38" s="4"/>
      <c r="O38" s="4"/>
      <c r="P38" s="4"/>
      <c r="Q38" s="143"/>
      <c r="R38" s="22"/>
      <c r="S38" s="2"/>
      <c r="T38" s="2"/>
      <c r="U38" s="2"/>
      <c r="V38" s="2"/>
      <c r="W38" s="2"/>
      <c r="X38" s="2"/>
    </row>
    <row r="39" spans="1:24" ht="13.5" thickBot="1" x14ac:dyDescent="0.25">
      <c r="A39" s="22"/>
      <c r="B39" s="31" t="s">
        <v>3</v>
      </c>
      <c r="C39" s="22"/>
      <c r="D39" s="26"/>
      <c r="E39" s="26"/>
      <c r="F39" s="38" t="s">
        <v>21</v>
      </c>
      <c r="G39" s="38">
        <f>$B$21</f>
        <v>30</v>
      </c>
      <c r="H39" s="38" t="str">
        <f t="shared" ref="H39:P39" si="1">F39</f>
        <v>┼</v>
      </c>
      <c r="I39" s="38">
        <f t="shared" si="1"/>
        <v>30</v>
      </c>
      <c r="J39" s="38" t="str">
        <f t="shared" si="1"/>
        <v>┼</v>
      </c>
      <c r="K39" s="38">
        <f t="shared" si="1"/>
        <v>30</v>
      </c>
      <c r="L39" s="38" t="str">
        <f t="shared" si="1"/>
        <v>┼</v>
      </c>
      <c r="M39" s="38">
        <f t="shared" si="1"/>
        <v>30</v>
      </c>
      <c r="N39" s="38" t="str">
        <f t="shared" si="1"/>
        <v>┼</v>
      </c>
      <c r="O39" s="38">
        <f t="shared" si="1"/>
        <v>30</v>
      </c>
      <c r="P39" s="38" t="str">
        <f t="shared" si="1"/>
        <v>┼</v>
      </c>
      <c r="Q39" s="63" t="s">
        <v>30</v>
      </c>
      <c r="R39" s="22"/>
      <c r="S39" s="1"/>
      <c r="T39" s="1"/>
      <c r="U39" s="1"/>
      <c r="V39" s="1"/>
      <c r="W39" s="1"/>
      <c r="X39" s="1"/>
    </row>
    <row r="40" spans="1:24" ht="13.5" thickBot="1" x14ac:dyDescent="0.25">
      <c r="A40" s="22"/>
      <c r="B40" s="189">
        <f>ROUNDUP(B36/B38,0)</f>
        <v>5</v>
      </c>
      <c r="C40" s="22"/>
      <c r="D40" s="22"/>
      <c r="E40" s="22"/>
      <c r="F40" s="26"/>
      <c r="G40" s="26"/>
      <c r="H40" s="26"/>
      <c r="I40" s="26"/>
      <c r="J40" s="22"/>
      <c r="K40" s="26"/>
      <c r="L40" s="39"/>
      <c r="M40" s="26"/>
      <c r="N40" s="22"/>
      <c r="O40" s="26"/>
      <c r="P40" s="22"/>
      <c r="Q40" s="22"/>
      <c r="R40" s="22"/>
    </row>
    <row r="41" spans="1:24" x14ac:dyDescent="0.2">
      <c r="A41" s="22"/>
      <c r="B41" s="22"/>
      <c r="C41" s="22"/>
      <c r="D41" s="22"/>
      <c r="E41" s="22"/>
      <c r="F41" s="23"/>
      <c r="G41" s="22"/>
      <c r="H41" s="22"/>
      <c r="I41" s="22"/>
      <c r="J41" s="22"/>
      <c r="K41" s="24" t="s">
        <v>0</v>
      </c>
      <c r="L41" s="22"/>
      <c r="M41" s="22"/>
      <c r="N41" s="22"/>
      <c r="O41" s="22"/>
      <c r="P41" s="22"/>
      <c r="Q41" s="22"/>
      <c r="R41" s="22"/>
    </row>
    <row r="42" spans="1:24" x14ac:dyDescent="0.2">
      <c r="A42" s="22"/>
      <c r="B42" s="22"/>
      <c r="C42" s="22"/>
      <c r="D42" s="22"/>
      <c r="E42" s="22"/>
      <c r="F42" s="22"/>
      <c r="G42" s="22"/>
      <c r="H42" s="22"/>
      <c r="I42" s="22"/>
      <c r="J42" s="22"/>
      <c r="K42" s="22"/>
      <c r="L42" s="22"/>
      <c r="M42" s="22"/>
      <c r="N42" s="22"/>
      <c r="O42" s="22"/>
      <c r="P42" s="22"/>
      <c r="Q42" s="22"/>
      <c r="R42" s="22"/>
    </row>
    <row r="43" spans="1:24" x14ac:dyDescent="0.2">
      <c r="A43" s="22"/>
      <c r="B43" s="22"/>
      <c r="C43" s="22"/>
      <c r="D43" s="22"/>
      <c r="E43" s="22"/>
      <c r="F43" s="22"/>
      <c r="G43" s="22"/>
      <c r="H43" s="22"/>
      <c r="I43" s="22"/>
      <c r="J43" s="22"/>
      <c r="K43" s="22"/>
      <c r="L43" s="22"/>
      <c r="M43" s="22"/>
      <c r="N43" s="22"/>
      <c r="O43" s="22"/>
      <c r="P43" s="22"/>
      <c r="Q43" s="22"/>
      <c r="R43" s="22"/>
    </row>
    <row r="44" spans="1:24" x14ac:dyDescent="0.2">
      <c r="A44" s="22"/>
      <c r="B44" s="208" t="s">
        <v>70</v>
      </c>
      <c r="C44" s="209"/>
      <c r="D44" s="209"/>
      <c r="E44" s="209"/>
      <c r="F44" s="209"/>
      <c r="G44" s="209"/>
      <c r="H44" s="209"/>
      <c r="I44" s="209"/>
      <c r="J44" s="209"/>
      <c r="K44" s="209"/>
      <c r="L44" s="209"/>
      <c r="M44" s="209"/>
      <c r="N44" s="209"/>
      <c r="O44" s="209"/>
      <c r="P44" s="209"/>
      <c r="Q44" s="209"/>
      <c r="R44" s="22"/>
    </row>
    <row r="45" spans="1:24" x14ac:dyDescent="0.2">
      <c r="A45" s="22"/>
      <c r="B45" s="209"/>
      <c r="C45" s="209"/>
      <c r="D45" s="209"/>
      <c r="E45" s="209"/>
      <c r="F45" s="209"/>
      <c r="G45" s="209"/>
      <c r="H45" s="209"/>
      <c r="I45" s="209"/>
      <c r="J45" s="209"/>
      <c r="K45" s="209"/>
      <c r="L45" s="209"/>
      <c r="M45" s="209"/>
      <c r="N45" s="209"/>
      <c r="O45" s="209"/>
      <c r="P45" s="209"/>
      <c r="Q45" s="209"/>
      <c r="R45" s="22"/>
    </row>
    <row r="46" spans="1:24" x14ac:dyDescent="0.2">
      <c r="A46" s="22"/>
      <c r="B46" s="209"/>
      <c r="C46" s="209"/>
      <c r="D46" s="209"/>
      <c r="E46" s="209"/>
      <c r="F46" s="209"/>
      <c r="G46" s="209"/>
      <c r="H46" s="209"/>
      <c r="I46" s="209"/>
      <c r="J46" s="209"/>
      <c r="K46" s="209"/>
      <c r="L46" s="209"/>
      <c r="M46" s="209"/>
      <c r="N46" s="209"/>
      <c r="O46" s="209"/>
      <c r="P46" s="209"/>
      <c r="Q46" s="209"/>
      <c r="R46" s="22"/>
    </row>
    <row r="47" spans="1:24" x14ac:dyDescent="0.2">
      <c r="A47" s="22"/>
      <c r="B47" s="209"/>
      <c r="C47" s="209"/>
      <c r="D47" s="209"/>
      <c r="E47" s="209"/>
      <c r="F47" s="209"/>
      <c r="G47" s="209"/>
      <c r="H47" s="209"/>
      <c r="I47" s="209"/>
      <c r="J47" s="209"/>
      <c r="K47" s="209"/>
      <c r="L47" s="209"/>
      <c r="M47" s="209"/>
      <c r="N47" s="209"/>
      <c r="O47" s="209"/>
      <c r="P47" s="209"/>
      <c r="Q47" s="209"/>
      <c r="R47" s="22"/>
    </row>
    <row r="48" spans="1:24" x14ac:dyDescent="0.2">
      <c r="A48" s="22"/>
      <c r="B48" s="209"/>
      <c r="C48" s="209"/>
      <c r="D48" s="209"/>
      <c r="E48" s="209"/>
      <c r="F48" s="209"/>
      <c r="G48" s="209"/>
      <c r="H48" s="209"/>
      <c r="I48" s="209"/>
      <c r="J48" s="209"/>
      <c r="K48" s="209"/>
      <c r="L48" s="209"/>
      <c r="M48" s="209"/>
      <c r="N48" s="209"/>
      <c r="O48" s="209"/>
      <c r="P48" s="209"/>
      <c r="Q48" s="209"/>
      <c r="R48" s="22"/>
    </row>
    <row r="49" spans="1:18" x14ac:dyDescent="0.2">
      <c r="A49" s="22"/>
      <c r="B49" s="209"/>
      <c r="C49" s="209"/>
      <c r="D49" s="209"/>
      <c r="E49" s="209"/>
      <c r="F49" s="209"/>
      <c r="G49" s="209"/>
      <c r="H49" s="209"/>
      <c r="I49" s="209"/>
      <c r="J49" s="209"/>
      <c r="K49" s="209"/>
      <c r="L49" s="209"/>
      <c r="M49" s="209"/>
      <c r="N49" s="209"/>
      <c r="O49" s="209"/>
      <c r="P49" s="209"/>
      <c r="Q49" s="209"/>
      <c r="R49" s="22"/>
    </row>
    <row r="50" spans="1:18" x14ac:dyDescent="0.2">
      <c r="A50" s="22"/>
      <c r="B50" s="22"/>
      <c r="C50" s="22"/>
      <c r="D50" s="22"/>
      <c r="E50" s="22"/>
      <c r="F50" s="22"/>
      <c r="G50" s="22"/>
      <c r="H50" s="22"/>
      <c r="I50" s="22"/>
      <c r="J50" s="22"/>
      <c r="K50" s="22"/>
      <c r="L50" s="22"/>
      <c r="M50" s="22"/>
      <c r="N50" s="22"/>
      <c r="O50" s="22"/>
      <c r="P50" s="22"/>
      <c r="Q50" s="22"/>
      <c r="R50" s="22"/>
    </row>
    <row r="51" spans="1:18" x14ac:dyDescent="0.2">
      <c r="A51" s="22"/>
      <c r="B51" s="22"/>
      <c r="C51" s="22"/>
      <c r="D51" s="22"/>
      <c r="E51" s="22"/>
      <c r="F51" s="22"/>
      <c r="G51" s="22"/>
      <c r="H51" s="22"/>
      <c r="I51" s="22"/>
      <c r="J51" s="22"/>
      <c r="K51" s="22"/>
      <c r="L51" s="22"/>
      <c r="M51" s="22"/>
      <c r="N51" s="22"/>
      <c r="O51" s="22"/>
      <c r="P51" s="22"/>
      <c r="Q51" s="22"/>
      <c r="R51" s="22"/>
    </row>
    <row r="52" spans="1:18" x14ac:dyDescent="0.2">
      <c r="A52" s="22"/>
      <c r="B52" s="22"/>
      <c r="C52" s="22"/>
      <c r="D52" s="22"/>
      <c r="E52" s="22"/>
      <c r="F52" s="22"/>
      <c r="G52" s="22"/>
      <c r="H52" s="22"/>
      <c r="I52" s="22"/>
      <c r="J52" s="22"/>
      <c r="K52" s="22"/>
      <c r="L52" s="22"/>
      <c r="M52" s="22"/>
      <c r="N52" s="22"/>
      <c r="O52" s="22"/>
      <c r="P52" s="22"/>
      <c r="Q52" s="22"/>
      <c r="R52" s="22"/>
    </row>
  </sheetData>
  <sheetProtection algorithmName="SHA-512" hashValue="F1V8qAutgIFh4wERwrkGR25QZJCB6VhnUsGX7fZAsGrXXz+NkYfASV7TKyY66NAYqIN7su1fFPfdeN/UEZFVDg==" saltValue="RaFCZ+4zT0C0mipWP7/AOA==" spinCount="100000" sheet="1" objects="1" scenarios="1" selectLockedCells="1"/>
  <mergeCells count="1">
    <mergeCell ref="B44:Q49"/>
  </mergeCells>
  <pageMargins left="0.7" right="0.7" top="0.75" bottom="0.75" header="0.3" footer="0.3"/>
  <pageSetup scale="69"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92"/>
  <sheetViews>
    <sheetView view="pageBreakPreview" topLeftCell="E41" zoomScaleNormal="100" zoomScaleSheetLayoutView="100" workbookViewId="0">
      <selection activeCell="B20" sqref="B20"/>
    </sheetView>
  </sheetViews>
  <sheetFormatPr defaultRowHeight="12.75" x14ac:dyDescent="0.2"/>
  <cols>
    <col min="1" max="1" width="12" customWidth="1"/>
    <col min="4" max="4" width="10.28515625" bestFit="1" customWidth="1"/>
  </cols>
  <sheetData>
    <row r="1" spans="1:18" x14ac:dyDescent="0.2">
      <c r="A1" s="22"/>
      <c r="B1" s="22"/>
      <c r="C1" s="22"/>
      <c r="D1" s="22"/>
      <c r="E1" s="22"/>
      <c r="F1" s="22"/>
      <c r="G1" s="22"/>
      <c r="H1" s="22"/>
      <c r="I1" s="22"/>
      <c r="J1" s="22"/>
      <c r="K1" s="22"/>
      <c r="L1" s="22"/>
      <c r="M1" s="22"/>
      <c r="N1" s="22"/>
      <c r="O1" s="22"/>
      <c r="P1" s="22"/>
      <c r="Q1" s="22"/>
      <c r="R1" s="22"/>
    </row>
    <row r="2" spans="1:18" x14ac:dyDescent="0.2">
      <c r="A2" s="22"/>
      <c r="B2" s="22"/>
      <c r="C2" s="22"/>
      <c r="D2" s="22"/>
      <c r="E2" s="22"/>
      <c r="F2" s="22"/>
      <c r="G2" s="22"/>
      <c r="H2" s="22"/>
      <c r="I2" s="22"/>
      <c r="J2" s="22"/>
      <c r="K2" s="22"/>
      <c r="L2" s="22"/>
      <c r="M2" s="22"/>
      <c r="N2" s="22"/>
      <c r="O2" s="22"/>
      <c r="P2" s="22"/>
      <c r="Q2" s="22"/>
      <c r="R2" s="22"/>
    </row>
    <row r="3" spans="1:18" x14ac:dyDescent="0.2">
      <c r="A3" s="22"/>
      <c r="B3" s="22"/>
      <c r="C3" s="22"/>
      <c r="D3" s="22"/>
      <c r="E3" s="22"/>
      <c r="F3" s="22"/>
      <c r="G3" s="22"/>
      <c r="H3" s="22"/>
      <c r="I3" s="22"/>
      <c r="J3" s="22"/>
      <c r="K3" s="22"/>
      <c r="L3" s="22"/>
      <c r="M3" s="22"/>
      <c r="N3" s="22"/>
      <c r="O3" s="22"/>
      <c r="P3" s="22"/>
      <c r="Q3" s="22"/>
      <c r="R3" s="22"/>
    </row>
    <row r="4" spans="1:18" x14ac:dyDescent="0.2">
      <c r="A4" s="22"/>
      <c r="B4" s="22"/>
      <c r="C4" s="22"/>
      <c r="D4" s="22"/>
      <c r="E4" s="22"/>
      <c r="F4" s="22"/>
      <c r="G4" s="22"/>
      <c r="H4" s="22"/>
      <c r="I4" s="22"/>
      <c r="J4" s="22"/>
      <c r="K4" s="22"/>
      <c r="L4" s="22"/>
      <c r="M4" s="22"/>
      <c r="N4" s="22"/>
      <c r="O4" s="22"/>
      <c r="P4" s="22"/>
      <c r="Q4" s="22"/>
      <c r="R4" s="22"/>
    </row>
    <row r="5" spans="1:18" x14ac:dyDescent="0.2">
      <c r="A5" s="22" t="s">
        <v>32</v>
      </c>
      <c r="B5" s="191" t="s">
        <v>74</v>
      </c>
      <c r="C5" s="22"/>
      <c r="D5" s="22"/>
      <c r="E5" s="22"/>
      <c r="F5" s="22"/>
      <c r="G5" s="22"/>
      <c r="H5" s="22"/>
      <c r="I5" s="22"/>
      <c r="J5" s="22"/>
      <c r="K5" s="22"/>
      <c r="L5" s="22"/>
      <c r="M5" s="22"/>
      <c r="N5" s="22"/>
      <c r="O5" s="22"/>
      <c r="P5" s="22"/>
      <c r="Q5" s="22"/>
      <c r="R5" s="22"/>
    </row>
    <row r="6" spans="1:18" x14ac:dyDescent="0.2">
      <c r="A6" s="22" t="s">
        <v>33</v>
      </c>
      <c r="B6" s="40">
        <f ca="1">TODAY()</f>
        <v>45467</v>
      </c>
      <c r="C6" s="22"/>
      <c r="D6" s="22"/>
      <c r="E6" s="22"/>
      <c r="F6" s="22"/>
      <c r="G6" s="22"/>
      <c r="H6" s="22"/>
      <c r="I6" s="22"/>
      <c r="J6" s="22"/>
      <c r="K6" s="22"/>
      <c r="L6" s="22"/>
      <c r="M6" s="22"/>
      <c r="N6" s="22"/>
      <c r="O6" s="22"/>
      <c r="P6" s="22"/>
      <c r="Q6" s="22"/>
      <c r="R6" s="22"/>
    </row>
    <row r="7" spans="1:18" x14ac:dyDescent="0.2">
      <c r="A7" s="22" t="s">
        <v>34</v>
      </c>
      <c r="B7" s="191" t="s">
        <v>75</v>
      </c>
      <c r="C7" s="22"/>
      <c r="D7" s="22"/>
      <c r="E7" s="22"/>
      <c r="F7" s="22"/>
      <c r="G7" s="22"/>
      <c r="H7" s="22"/>
      <c r="I7" s="22"/>
      <c r="J7" s="22"/>
      <c r="K7" s="22"/>
      <c r="L7" s="22"/>
      <c r="M7" s="22"/>
      <c r="N7" s="22"/>
      <c r="O7" s="22"/>
      <c r="P7" s="22"/>
      <c r="Q7" s="22"/>
      <c r="R7" s="22"/>
    </row>
    <row r="8" spans="1:18" x14ac:dyDescent="0.2">
      <c r="A8" s="22"/>
      <c r="B8" s="23"/>
      <c r="C8" s="22"/>
      <c r="D8" s="22"/>
      <c r="E8" s="22"/>
      <c r="F8" s="22"/>
      <c r="G8" s="22"/>
      <c r="H8" s="22"/>
      <c r="I8" s="22"/>
      <c r="J8" s="22"/>
      <c r="K8" s="22"/>
      <c r="L8" s="22"/>
      <c r="M8" s="22"/>
      <c r="N8" s="22"/>
      <c r="O8" s="22"/>
      <c r="P8" s="22"/>
      <c r="Q8" s="22"/>
      <c r="R8" s="22"/>
    </row>
    <row r="9" spans="1:18" x14ac:dyDescent="0.2">
      <c r="A9" s="22"/>
      <c r="B9" s="23" t="s">
        <v>4</v>
      </c>
      <c r="C9" s="22"/>
      <c r="D9" s="22"/>
      <c r="E9" s="22"/>
      <c r="F9" s="22"/>
      <c r="G9" s="22"/>
      <c r="H9" s="22"/>
      <c r="I9" s="22"/>
      <c r="J9" s="22"/>
      <c r="K9" s="22"/>
      <c r="L9" s="22"/>
      <c r="M9" s="22"/>
      <c r="N9" s="22"/>
      <c r="O9" s="22"/>
      <c r="P9" s="22"/>
      <c r="Q9" s="22"/>
      <c r="R9" s="22"/>
    </row>
    <row r="10" spans="1:18" x14ac:dyDescent="0.2">
      <c r="A10" s="22"/>
      <c r="B10" s="23" t="s">
        <v>15</v>
      </c>
      <c r="C10" s="22"/>
      <c r="D10" s="22"/>
      <c r="E10" s="22"/>
      <c r="F10" s="22"/>
      <c r="G10" s="22"/>
      <c r="H10" s="22"/>
      <c r="I10" s="22"/>
      <c r="J10" s="22"/>
      <c r="K10" s="22"/>
      <c r="L10" s="22"/>
      <c r="M10" s="22"/>
      <c r="N10" s="22"/>
      <c r="O10" s="22"/>
      <c r="P10" s="22"/>
      <c r="Q10" s="22"/>
      <c r="R10" s="22"/>
    </row>
    <row r="11" spans="1:18" x14ac:dyDescent="0.2">
      <c r="A11" s="22"/>
      <c r="B11" s="23" t="s">
        <v>72</v>
      </c>
      <c r="C11" s="22"/>
      <c r="D11" s="22"/>
      <c r="E11" s="22"/>
      <c r="F11" s="22"/>
      <c r="G11" s="22"/>
      <c r="H11" s="22"/>
      <c r="I11" s="22"/>
      <c r="J11" s="22"/>
      <c r="K11" s="24" t="s">
        <v>5</v>
      </c>
      <c r="L11" s="22"/>
      <c r="M11" s="22"/>
      <c r="N11" s="22"/>
      <c r="O11" s="22"/>
      <c r="P11" s="22"/>
      <c r="Q11" s="22"/>
      <c r="R11" s="22"/>
    </row>
    <row r="12" spans="1:18" ht="13.5" thickBot="1" x14ac:dyDescent="0.25">
      <c r="A12" s="22"/>
      <c r="B12" s="23" t="s">
        <v>17</v>
      </c>
      <c r="C12" s="22"/>
      <c r="D12" s="22"/>
      <c r="E12" s="22"/>
      <c r="F12" s="22"/>
      <c r="G12" s="22"/>
      <c r="H12" s="22"/>
      <c r="I12" s="22"/>
      <c r="J12" s="22"/>
      <c r="K12" s="24"/>
      <c r="L12" s="22"/>
      <c r="M12" s="22"/>
      <c r="N12" s="22"/>
      <c r="O12" s="22"/>
      <c r="P12" s="22"/>
      <c r="Q12" s="22"/>
      <c r="R12" s="22"/>
    </row>
    <row r="13" spans="1:18" ht="14.25" x14ac:dyDescent="0.2">
      <c r="A13" s="22"/>
      <c r="B13" s="22"/>
      <c r="C13" s="22"/>
      <c r="D13" s="150" t="s">
        <v>53</v>
      </c>
      <c r="E13" s="107"/>
      <c r="F13" s="95"/>
      <c r="G13" s="95"/>
      <c r="H13" s="95"/>
      <c r="I13" s="95"/>
      <c r="J13" s="95"/>
      <c r="K13" s="95"/>
      <c r="L13" s="95"/>
      <c r="M13" s="95"/>
      <c r="N13" s="95"/>
      <c r="O13" s="95"/>
      <c r="P13" s="95"/>
      <c r="Q13" s="97"/>
      <c r="R13" s="22"/>
    </row>
    <row r="14" spans="1:18" ht="14.25" x14ac:dyDescent="0.2">
      <c r="A14" s="22"/>
      <c r="B14" s="22"/>
      <c r="C14" s="26"/>
      <c r="D14" s="151" t="s">
        <v>51</v>
      </c>
      <c r="E14" s="109"/>
      <c r="F14" s="15"/>
      <c r="G14" s="15"/>
      <c r="H14" s="15"/>
      <c r="I14" s="15"/>
      <c r="J14" s="15"/>
      <c r="K14" s="15"/>
      <c r="L14" s="15"/>
      <c r="M14" s="15"/>
      <c r="N14" s="15"/>
      <c r="O14" s="65"/>
      <c r="P14" s="15"/>
      <c r="Q14" s="99"/>
      <c r="R14" s="22"/>
    </row>
    <row r="15" spans="1:18" ht="15" thickBot="1" x14ac:dyDescent="0.25">
      <c r="A15" s="22"/>
      <c r="B15" s="31" t="s">
        <v>13</v>
      </c>
      <c r="C15" s="26"/>
      <c r="D15" s="152" t="s">
        <v>51</v>
      </c>
      <c r="E15" s="111"/>
      <c r="F15" s="16"/>
      <c r="G15" s="160"/>
      <c r="H15" s="118"/>
      <c r="I15" s="160"/>
      <c r="J15" s="16"/>
      <c r="K15" s="160"/>
      <c r="L15" s="118"/>
      <c r="M15" s="160"/>
      <c r="N15" s="16"/>
      <c r="O15" s="161"/>
      <c r="P15" s="160"/>
      <c r="Q15" s="162"/>
      <c r="R15" s="22"/>
    </row>
    <row r="16" spans="1:18" ht="15" thickBot="1" x14ac:dyDescent="0.25">
      <c r="A16" s="22"/>
      <c r="B16" s="193">
        <v>19</v>
      </c>
      <c r="C16" s="26"/>
      <c r="D16" s="151" t="s">
        <v>51</v>
      </c>
      <c r="E16" s="109"/>
      <c r="F16" s="16"/>
      <c r="G16" s="16"/>
      <c r="H16" s="16"/>
      <c r="I16" s="16"/>
      <c r="J16" s="16"/>
      <c r="K16" s="16"/>
      <c r="L16" s="16"/>
      <c r="M16" s="16"/>
      <c r="N16" s="16"/>
      <c r="O16" s="65"/>
      <c r="P16" s="16"/>
      <c r="Q16" s="101"/>
      <c r="R16" s="22"/>
    </row>
    <row r="17" spans="1:35" ht="15" thickBot="1" x14ac:dyDescent="0.25">
      <c r="A17" s="30"/>
      <c r="B17" s="28" t="s">
        <v>19</v>
      </c>
      <c r="C17" s="26"/>
      <c r="D17" s="151" t="s">
        <v>51</v>
      </c>
      <c r="E17" s="109"/>
      <c r="F17" s="16"/>
      <c r="G17" s="163"/>
      <c r="H17" s="16"/>
      <c r="I17" s="163"/>
      <c r="J17" s="16"/>
      <c r="K17" s="163"/>
      <c r="L17" s="16"/>
      <c r="M17" s="163"/>
      <c r="N17" s="16"/>
      <c r="O17" s="164"/>
      <c r="P17" s="15"/>
      <c r="Q17" s="165"/>
      <c r="R17" s="22"/>
    </row>
    <row r="18" spans="1:35" ht="15" thickBot="1" x14ac:dyDescent="0.25">
      <c r="A18" s="30"/>
      <c r="B18" s="193">
        <v>70</v>
      </c>
      <c r="C18" s="26"/>
      <c r="D18" s="151" t="s">
        <v>51</v>
      </c>
      <c r="E18" s="109"/>
      <c r="F18" s="16"/>
      <c r="G18" s="16"/>
      <c r="H18" s="16"/>
      <c r="I18" s="16"/>
      <c r="J18" s="16"/>
      <c r="K18" s="16"/>
      <c r="L18" s="16"/>
      <c r="M18" s="16"/>
      <c r="N18" s="16"/>
      <c r="O18" s="65"/>
      <c r="P18" s="16"/>
      <c r="Q18" s="101"/>
      <c r="R18" s="22"/>
      <c r="S18" s="5" t="s">
        <v>6</v>
      </c>
      <c r="T18" s="5"/>
      <c r="U18" s="5" t="s">
        <v>7</v>
      </c>
      <c r="V18" s="5" t="s">
        <v>8</v>
      </c>
      <c r="W18" s="5" t="s">
        <v>27</v>
      </c>
      <c r="X18" s="5" t="s">
        <v>28</v>
      </c>
      <c r="Y18" s="5" t="s">
        <v>29</v>
      </c>
      <c r="Z18" s="5" t="s">
        <v>38</v>
      </c>
      <c r="AA18" s="5" t="s">
        <v>39</v>
      </c>
      <c r="AB18" s="5" t="s">
        <v>40</v>
      </c>
      <c r="AC18" s="5" t="s">
        <v>41</v>
      </c>
      <c r="AD18" s="5" t="s">
        <v>42</v>
      </c>
      <c r="AE18" s="5" t="s">
        <v>43</v>
      </c>
      <c r="AF18" s="5" t="s">
        <v>44</v>
      </c>
      <c r="AG18" s="5" t="s">
        <v>45</v>
      </c>
      <c r="AH18" s="5" t="s">
        <v>46</v>
      </c>
    </row>
    <row r="19" spans="1:35" ht="15" thickBot="1" x14ac:dyDescent="0.25">
      <c r="A19" s="30"/>
      <c r="B19" s="31" t="s">
        <v>36</v>
      </c>
      <c r="C19" s="26"/>
      <c r="D19" s="152" t="s">
        <v>51</v>
      </c>
      <c r="E19" s="111"/>
      <c r="F19" s="16"/>
      <c r="G19" s="166"/>
      <c r="H19" s="16"/>
      <c r="I19" s="166"/>
      <c r="J19" s="16"/>
      <c r="K19" s="166"/>
      <c r="L19" s="16"/>
      <c r="M19" s="166"/>
      <c r="N19" s="16"/>
      <c r="O19" s="164"/>
      <c r="P19" s="16"/>
      <c r="Q19" s="167"/>
      <c r="R19" s="22"/>
      <c r="S19" s="9">
        <v>1</v>
      </c>
      <c r="T19" s="2" t="s">
        <v>9</v>
      </c>
      <c r="U19" s="10">
        <v>2</v>
      </c>
      <c r="V19" s="11">
        <v>0</v>
      </c>
      <c r="W19" s="11">
        <v>0</v>
      </c>
      <c r="X19" s="11">
        <v>0</v>
      </c>
      <c r="Y19" s="11">
        <v>0</v>
      </c>
      <c r="Z19" s="11">
        <v>0</v>
      </c>
      <c r="AA19" s="11">
        <v>0</v>
      </c>
      <c r="AB19" s="11">
        <v>0</v>
      </c>
      <c r="AC19" s="11">
        <v>0</v>
      </c>
      <c r="AD19" s="11">
        <v>0</v>
      </c>
      <c r="AE19" s="11">
        <v>0</v>
      </c>
      <c r="AF19" s="11">
        <v>0</v>
      </c>
      <c r="AG19" s="11">
        <v>0</v>
      </c>
      <c r="AH19" s="11">
        <v>0</v>
      </c>
      <c r="AI19" s="11"/>
    </row>
    <row r="20" spans="1:35" ht="15" thickBot="1" x14ac:dyDescent="0.25">
      <c r="A20" s="30"/>
      <c r="B20" s="194">
        <v>20</v>
      </c>
      <c r="C20" s="26"/>
      <c r="D20" s="150" t="s">
        <v>51</v>
      </c>
      <c r="E20" s="113"/>
      <c r="F20" s="16"/>
      <c r="G20" s="16"/>
      <c r="H20" s="16"/>
      <c r="I20" s="16"/>
      <c r="J20" s="16"/>
      <c r="K20" s="16"/>
      <c r="L20" s="16"/>
      <c r="M20" s="16"/>
      <c r="N20" s="16"/>
      <c r="O20" s="65"/>
      <c r="P20" s="16"/>
      <c r="Q20" s="101"/>
      <c r="R20" s="22"/>
      <c r="S20" s="9">
        <f>U19+0.1</f>
        <v>2.1</v>
      </c>
      <c r="T20" s="2" t="s">
        <v>9</v>
      </c>
      <c r="U20" s="10">
        <v>4</v>
      </c>
      <c r="V20" s="11">
        <v>1</v>
      </c>
      <c r="W20" s="11">
        <v>1</v>
      </c>
      <c r="X20" s="11">
        <v>0</v>
      </c>
      <c r="Y20" s="11">
        <v>0</v>
      </c>
      <c r="Z20" s="11">
        <v>0</v>
      </c>
      <c r="AA20" s="11">
        <v>0</v>
      </c>
      <c r="AB20" s="11">
        <v>0</v>
      </c>
      <c r="AC20" s="11">
        <v>0</v>
      </c>
      <c r="AD20" s="11">
        <v>0</v>
      </c>
      <c r="AE20" s="11">
        <v>0</v>
      </c>
      <c r="AF20" s="11">
        <v>0</v>
      </c>
      <c r="AG20" s="11">
        <v>0</v>
      </c>
      <c r="AH20" s="11">
        <v>0</v>
      </c>
    </row>
    <row r="21" spans="1:35" ht="14.25" x14ac:dyDescent="0.2">
      <c r="A21" s="30"/>
      <c r="B21" s="24"/>
      <c r="C21" s="26"/>
      <c r="D21" s="151">
        <f>B16-SUM(D29,D32,D35,D38,D41,D44,D47,D50,D53,D56,D59,D62,D65,D67,D69)</f>
        <v>7</v>
      </c>
      <c r="E21" s="109"/>
      <c r="F21" s="15"/>
      <c r="G21" s="15"/>
      <c r="H21" s="15"/>
      <c r="I21" s="15"/>
      <c r="J21" s="15"/>
      <c r="K21" s="15"/>
      <c r="L21" s="15"/>
      <c r="M21" s="15"/>
      <c r="N21" s="15"/>
      <c r="O21" s="65"/>
      <c r="P21" s="15"/>
      <c r="Q21" s="99"/>
      <c r="R21" s="22"/>
      <c r="S21" s="9">
        <f t="shared" ref="S21:S34" si="0">U20+0.1</f>
        <v>4.0999999999999996</v>
      </c>
      <c r="T21" s="2" t="s">
        <v>9</v>
      </c>
      <c r="U21" s="10">
        <v>8</v>
      </c>
      <c r="V21" s="11">
        <v>2</v>
      </c>
      <c r="W21" s="11">
        <v>1</v>
      </c>
      <c r="X21" s="11">
        <v>1</v>
      </c>
      <c r="Y21" s="11">
        <v>0</v>
      </c>
      <c r="Z21" s="11">
        <v>0</v>
      </c>
      <c r="AA21" s="11">
        <v>0</v>
      </c>
      <c r="AB21" s="11">
        <v>0</v>
      </c>
      <c r="AC21" s="11">
        <v>0</v>
      </c>
      <c r="AD21" s="11">
        <v>0</v>
      </c>
      <c r="AE21" s="11">
        <v>0</v>
      </c>
      <c r="AF21" s="11">
        <v>0</v>
      </c>
      <c r="AG21" s="11">
        <v>0</v>
      </c>
      <c r="AH21" s="11">
        <v>0</v>
      </c>
    </row>
    <row r="22" spans="1:35" ht="14.25" x14ac:dyDescent="0.2">
      <c r="A22" s="30"/>
      <c r="B22" s="200"/>
      <c r="C22" s="26"/>
      <c r="D22" s="150" t="s">
        <v>51</v>
      </c>
      <c r="E22" s="113"/>
      <c r="F22" s="15"/>
      <c r="G22" s="15"/>
      <c r="H22" s="15"/>
      <c r="I22" s="18"/>
      <c r="J22" s="15"/>
      <c r="K22" s="15"/>
      <c r="L22" s="15"/>
      <c r="M22" s="15"/>
      <c r="N22" s="15"/>
      <c r="O22" s="65"/>
      <c r="P22" s="15"/>
      <c r="Q22" s="99"/>
      <c r="R22" s="22"/>
      <c r="S22" s="9">
        <f t="shared" si="0"/>
        <v>8.1</v>
      </c>
      <c r="T22" s="2" t="s">
        <v>9</v>
      </c>
      <c r="U22" s="10">
        <v>12</v>
      </c>
      <c r="V22" s="11">
        <v>3</v>
      </c>
      <c r="W22" s="11">
        <v>1</v>
      </c>
      <c r="X22" s="11">
        <v>1</v>
      </c>
      <c r="Y22" s="11">
        <v>1</v>
      </c>
      <c r="Z22" s="11">
        <v>0</v>
      </c>
      <c r="AA22" s="11">
        <v>0</v>
      </c>
      <c r="AB22" s="11">
        <v>0</v>
      </c>
      <c r="AC22" s="11">
        <v>0</v>
      </c>
      <c r="AD22" s="11">
        <v>0</v>
      </c>
      <c r="AE22" s="11">
        <v>0</v>
      </c>
      <c r="AF22" s="11">
        <v>0</v>
      </c>
      <c r="AG22" s="11">
        <v>0</v>
      </c>
      <c r="AH22" s="11">
        <v>0</v>
      </c>
    </row>
    <row r="23" spans="1:35" ht="14.25" x14ac:dyDescent="0.2">
      <c r="A23" s="30"/>
      <c r="B23" s="153"/>
      <c r="C23" s="26"/>
      <c r="D23" s="150" t="s">
        <v>51</v>
      </c>
      <c r="E23" s="113"/>
      <c r="F23" s="15"/>
      <c r="G23" s="15"/>
      <c r="H23" s="15"/>
      <c r="I23" s="18"/>
      <c r="J23" s="15"/>
      <c r="K23" s="15"/>
      <c r="L23" s="15"/>
      <c r="M23" s="15"/>
      <c r="N23" s="15"/>
      <c r="O23" s="65"/>
      <c r="P23" s="15"/>
      <c r="Q23" s="99"/>
      <c r="R23" s="22"/>
      <c r="S23" s="9">
        <f t="shared" si="0"/>
        <v>12.1</v>
      </c>
      <c r="T23" s="2" t="s">
        <v>9</v>
      </c>
      <c r="U23" s="10">
        <v>17</v>
      </c>
      <c r="V23" s="11">
        <v>4</v>
      </c>
      <c r="W23" s="11">
        <v>1</v>
      </c>
      <c r="X23" s="11">
        <v>1</v>
      </c>
      <c r="Y23" s="11">
        <v>1</v>
      </c>
      <c r="Z23" s="11">
        <v>1</v>
      </c>
      <c r="AA23" s="11">
        <v>0</v>
      </c>
      <c r="AB23" s="11">
        <v>0</v>
      </c>
      <c r="AC23" s="11">
        <v>0</v>
      </c>
      <c r="AD23" s="11">
        <v>0</v>
      </c>
      <c r="AE23" s="11">
        <v>0</v>
      </c>
      <c r="AF23" s="11">
        <v>0</v>
      </c>
      <c r="AG23" s="11">
        <v>0</v>
      </c>
      <c r="AH23" s="11">
        <v>0</v>
      </c>
    </row>
    <row r="24" spans="1:35" ht="14.25" x14ac:dyDescent="0.2">
      <c r="A24" s="30"/>
      <c r="B24" s="153"/>
      <c r="C24" s="26"/>
      <c r="D24" s="150" t="s">
        <v>51</v>
      </c>
      <c r="E24" s="113"/>
      <c r="F24" s="15"/>
      <c r="G24" s="15"/>
      <c r="H24" s="15"/>
      <c r="I24" s="18"/>
      <c r="J24" s="15"/>
      <c r="K24" s="15"/>
      <c r="L24" s="15"/>
      <c r="M24" s="15"/>
      <c r="N24" s="15"/>
      <c r="O24" s="65"/>
      <c r="P24" s="15"/>
      <c r="Q24" s="99"/>
      <c r="R24" s="22"/>
      <c r="S24" s="9">
        <f t="shared" si="0"/>
        <v>17.100000000000001</v>
      </c>
      <c r="T24" s="2" t="s">
        <v>9</v>
      </c>
      <c r="U24" s="10">
        <v>20</v>
      </c>
      <c r="V24" s="11">
        <v>5</v>
      </c>
      <c r="W24" s="11">
        <v>1</v>
      </c>
      <c r="X24" s="11">
        <v>1</v>
      </c>
      <c r="Y24" s="11">
        <v>1</v>
      </c>
      <c r="Z24" s="11">
        <v>1</v>
      </c>
      <c r="AA24" s="11">
        <v>1</v>
      </c>
      <c r="AB24" s="11">
        <v>0</v>
      </c>
      <c r="AC24" s="11">
        <v>0</v>
      </c>
      <c r="AD24" s="11">
        <v>0</v>
      </c>
      <c r="AE24" s="11">
        <v>0</v>
      </c>
      <c r="AF24" s="11">
        <v>0</v>
      </c>
      <c r="AG24" s="11">
        <v>0</v>
      </c>
      <c r="AH24" s="11">
        <v>0</v>
      </c>
    </row>
    <row r="25" spans="1:35" ht="14.25" x14ac:dyDescent="0.2">
      <c r="A25" s="30"/>
      <c r="B25" s="22"/>
      <c r="C25" s="26"/>
      <c r="D25" s="150" t="s">
        <v>51</v>
      </c>
      <c r="E25" s="113"/>
      <c r="F25" s="15"/>
      <c r="G25" s="15"/>
      <c r="H25" s="15"/>
      <c r="I25" s="18"/>
      <c r="J25" s="15"/>
      <c r="K25" s="15"/>
      <c r="L25" s="15"/>
      <c r="M25" s="15"/>
      <c r="N25" s="15"/>
      <c r="O25" s="65"/>
      <c r="P25" s="15"/>
      <c r="Q25" s="99"/>
      <c r="R25" s="22"/>
      <c r="S25" s="9">
        <f t="shared" si="0"/>
        <v>20.100000000000001</v>
      </c>
      <c r="T25" s="2" t="s">
        <v>9</v>
      </c>
      <c r="U25" s="10">
        <v>23</v>
      </c>
      <c r="V25" s="11">
        <v>6</v>
      </c>
      <c r="W25" s="11">
        <v>1</v>
      </c>
      <c r="X25" s="11">
        <v>1</v>
      </c>
      <c r="Y25" s="11">
        <v>1</v>
      </c>
      <c r="Z25" s="11">
        <v>1</v>
      </c>
      <c r="AA25" s="11">
        <v>1</v>
      </c>
      <c r="AB25" s="11">
        <v>1</v>
      </c>
      <c r="AC25" s="11">
        <v>0</v>
      </c>
      <c r="AD25" s="11">
        <v>0</v>
      </c>
      <c r="AE25" s="11">
        <v>0</v>
      </c>
      <c r="AF25" s="11">
        <v>0</v>
      </c>
      <c r="AG25" s="11">
        <v>0</v>
      </c>
      <c r="AH25" s="11">
        <v>0</v>
      </c>
    </row>
    <row r="26" spans="1:35" ht="14.25" x14ac:dyDescent="0.2">
      <c r="A26" s="30"/>
      <c r="B26" s="24"/>
      <c r="C26" s="26"/>
      <c r="D26" s="150" t="s">
        <v>51</v>
      </c>
      <c r="E26" s="113"/>
      <c r="F26" s="15"/>
      <c r="G26" s="15"/>
      <c r="H26" s="15"/>
      <c r="I26" s="18"/>
      <c r="J26" s="15"/>
      <c r="K26" s="15"/>
      <c r="L26" s="15"/>
      <c r="M26" s="15"/>
      <c r="N26" s="15"/>
      <c r="O26" s="65"/>
      <c r="P26" s="15"/>
      <c r="Q26" s="99"/>
      <c r="R26" s="22"/>
      <c r="S26" s="9">
        <f t="shared" si="0"/>
        <v>23.1</v>
      </c>
      <c r="T26" s="2" t="s">
        <v>9</v>
      </c>
      <c r="U26" s="10">
        <v>26</v>
      </c>
      <c r="V26" s="11">
        <v>7</v>
      </c>
      <c r="W26" s="11">
        <v>1</v>
      </c>
      <c r="X26" s="11">
        <v>1</v>
      </c>
      <c r="Y26" s="11">
        <v>1</v>
      </c>
      <c r="Z26" s="11">
        <v>1</v>
      </c>
      <c r="AA26" s="11">
        <v>1</v>
      </c>
      <c r="AB26" s="11">
        <v>1</v>
      </c>
      <c r="AC26" s="11">
        <v>1</v>
      </c>
      <c r="AD26" s="11">
        <v>0</v>
      </c>
      <c r="AE26" s="11">
        <v>0</v>
      </c>
      <c r="AF26" s="11">
        <v>0</v>
      </c>
      <c r="AG26" s="11">
        <v>0</v>
      </c>
      <c r="AH26" s="11">
        <v>0</v>
      </c>
    </row>
    <row r="27" spans="1:35" ht="14.25" x14ac:dyDescent="0.2">
      <c r="A27" s="30"/>
      <c r="B27" s="155"/>
      <c r="C27" s="26"/>
      <c r="D27" s="150" t="s">
        <v>51</v>
      </c>
      <c r="E27" s="113"/>
      <c r="F27" s="15"/>
      <c r="G27" s="15"/>
      <c r="H27" s="15"/>
      <c r="I27" s="18"/>
      <c r="J27" s="15"/>
      <c r="K27" s="15"/>
      <c r="L27" s="15"/>
      <c r="M27" s="15"/>
      <c r="N27" s="15"/>
      <c r="O27" s="65"/>
      <c r="P27" s="15"/>
      <c r="Q27" s="99"/>
      <c r="R27" s="22"/>
      <c r="S27" s="9">
        <f t="shared" si="0"/>
        <v>26.1</v>
      </c>
      <c r="T27" s="2" t="s">
        <v>9</v>
      </c>
      <c r="U27" s="10">
        <v>29</v>
      </c>
      <c r="V27" s="11">
        <v>8</v>
      </c>
      <c r="W27" s="11">
        <v>1</v>
      </c>
      <c r="X27" s="11">
        <v>1</v>
      </c>
      <c r="Y27" s="11">
        <v>1</v>
      </c>
      <c r="Z27" s="11">
        <v>1</v>
      </c>
      <c r="AA27" s="11">
        <v>1</v>
      </c>
      <c r="AB27" s="11">
        <v>1</v>
      </c>
      <c r="AC27" s="11">
        <v>1</v>
      </c>
      <c r="AD27" s="11">
        <v>1</v>
      </c>
      <c r="AE27" s="11">
        <v>0</v>
      </c>
      <c r="AF27" s="11">
        <v>0</v>
      </c>
      <c r="AG27" s="11">
        <v>0</v>
      </c>
      <c r="AH27" s="11">
        <v>0</v>
      </c>
    </row>
    <row r="28" spans="1:35" ht="14.25" x14ac:dyDescent="0.2">
      <c r="A28" s="30"/>
      <c r="B28" s="24"/>
      <c r="C28" s="26"/>
      <c r="D28" s="150" t="str">
        <f>IF(V63&gt;14,"┼   ","|    ")</f>
        <v xml:space="preserve">|    </v>
      </c>
      <c r="E28" s="113" t="str">
        <f>IF(D29=3,"XX","")</f>
        <v/>
      </c>
      <c r="F28" s="16" t="str">
        <f>IF(D29=3,"- - - - - - - -","")</f>
        <v/>
      </c>
      <c r="G28" s="15" t="str">
        <f>F28</f>
        <v/>
      </c>
      <c r="H28" s="15" t="str">
        <f>G28</f>
        <v/>
      </c>
      <c r="I28" s="168" t="str">
        <f>H28</f>
        <v/>
      </c>
      <c r="J28" s="15" t="str">
        <f>I28</f>
        <v/>
      </c>
      <c r="K28" s="15" t="str">
        <f>E28</f>
        <v/>
      </c>
      <c r="L28" s="15" t="str">
        <f>J28</f>
        <v/>
      </c>
      <c r="M28" s="15" t="str">
        <f>L28</f>
        <v/>
      </c>
      <c r="N28" s="15" t="str">
        <f>M28</f>
        <v/>
      </c>
      <c r="O28" s="65" t="str">
        <f>N28</f>
        <v/>
      </c>
      <c r="P28" s="15" t="str">
        <f>O28</f>
        <v/>
      </c>
      <c r="Q28" s="99" t="str">
        <f>E28</f>
        <v/>
      </c>
      <c r="R28" s="22"/>
      <c r="S28" s="9">
        <f t="shared" si="0"/>
        <v>29.1</v>
      </c>
      <c r="T28" s="2" t="s">
        <v>9</v>
      </c>
      <c r="U28" s="10">
        <v>32</v>
      </c>
      <c r="V28" s="11">
        <v>9</v>
      </c>
      <c r="W28" s="11">
        <v>1</v>
      </c>
      <c r="X28" s="11">
        <v>1</v>
      </c>
      <c r="Y28" s="11">
        <v>1</v>
      </c>
      <c r="Z28" s="11">
        <v>1</v>
      </c>
      <c r="AA28" s="11">
        <v>1</v>
      </c>
      <c r="AB28" s="11">
        <v>1</v>
      </c>
      <c r="AC28" s="11">
        <v>1</v>
      </c>
      <c r="AD28" s="11">
        <v>1</v>
      </c>
      <c r="AE28" s="11">
        <v>1</v>
      </c>
      <c r="AF28" s="11">
        <v>0</v>
      </c>
      <c r="AG28" s="11">
        <v>0</v>
      </c>
      <c r="AH28" s="11">
        <v>0</v>
      </c>
    </row>
    <row r="29" spans="1:35" ht="14.25" x14ac:dyDescent="0.2">
      <c r="A29" s="30"/>
      <c r="B29" s="159" t="s">
        <v>55</v>
      </c>
      <c r="C29" s="26"/>
      <c r="D29" s="151" t="str">
        <f>IF(V63&gt;14,3,"|    ")</f>
        <v xml:space="preserve">|    </v>
      </c>
      <c r="E29" s="113"/>
      <c r="F29" s="15"/>
      <c r="G29" s="15"/>
      <c r="H29" s="15"/>
      <c r="I29" s="18"/>
      <c r="J29" s="15"/>
      <c r="K29" s="15"/>
      <c r="L29" s="15"/>
      <c r="M29" s="15"/>
      <c r="N29" s="15"/>
      <c r="O29" s="65"/>
      <c r="P29" s="15"/>
      <c r="Q29" s="99"/>
      <c r="R29" s="22"/>
      <c r="S29" s="9">
        <f t="shared" si="0"/>
        <v>32.1</v>
      </c>
      <c r="T29" s="2" t="s">
        <v>9</v>
      </c>
      <c r="U29" s="10">
        <v>35</v>
      </c>
      <c r="V29" s="11">
        <v>10</v>
      </c>
      <c r="W29" s="11">
        <v>1</v>
      </c>
      <c r="X29" s="11">
        <v>1</v>
      </c>
      <c r="Y29" s="11">
        <v>1</v>
      </c>
      <c r="Z29" s="11">
        <v>1</v>
      </c>
      <c r="AA29" s="11">
        <v>1</v>
      </c>
      <c r="AB29" s="11">
        <v>1</v>
      </c>
      <c r="AC29" s="11">
        <v>1</v>
      </c>
      <c r="AD29" s="11">
        <v>1</v>
      </c>
      <c r="AE29" s="11">
        <v>1</v>
      </c>
      <c r="AF29" s="11">
        <v>1</v>
      </c>
      <c r="AG29" s="11">
        <v>0</v>
      </c>
      <c r="AH29" s="11">
        <v>0</v>
      </c>
    </row>
    <row r="30" spans="1:35" ht="14.25" x14ac:dyDescent="0.2">
      <c r="A30" s="30"/>
      <c r="B30" s="24"/>
      <c r="C30" s="26"/>
      <c r="D30" s="152" t="str">
        <f>IF(AND($B$35&gt;0,$B$55&gt;2),"┼─","│   ")</f>
        <v xml:space="preserve">│   </v>
      </c>
      <c r="E30" s="111"/>
      <c r="F30" s="160"/>
      <c r="G30" s="160"/>
      <c r="H30" s="16"/>
      <c r="I30" s="161"/>
      <c r="J30" s="160"/>
      <c r="K30" s="160"/>
      <c r="L30" s="16"/>
      <c r="M30" s="160"/>
      <c r="N30" s="160"/>
      <c r="O30" s="164"/>
      <c r="P30" s="15"/>
      <c r="Q30" s="162"/>
      <c r="R30" s="22"/>
      <c r="S30" s="9">
        <f t="shared" si="0"/>
        <v>35.1</v>
      </c>
      <c r="T30" s="2" t="s">
        <v>9</v>
      </c>
      <c r="U30" s="10">
        <v>38</v>
      </c>
      <c r="V30" s="11">
        <v>11</v>
      </c>
      <c r="W30" s="11">
        <v>1</v>
      </c>
      <c r="X30" s="11">
        <v>1</v>
      </c>
      <c r="Y30" s="11">
        <v>1</v>
      </c>
      <c r="Z30" s="11">
        <v>1</v>
      </c>
      <c r="AA30" s="11">
        <v>1</v>
      </c>
      <c r="AB30" s="11">
        <v>1</v>
      </c>
      <c r="AC30" s="11">
        <v>1</v>
      </c>
      <c r="AD30" s="11">
        <v>1</v>
      </c>
      <c r="AE30" s="11">
        <v>1</v>
      </c>
      <c r="AF30" s="11">
        <v>1</v>
      </c>
      <c r="AG30" s="11">
        <v>1</v>
      </c>
      <c r="AH30" s="11">
        <v>0</v>
      </c>
    </row>
    <row r="31" spans="1:35" ht="14.25" x14ac:dyDescent="0.2">
      <c r="A31" s="30"/>
      <c r="B31" s="158"/>
      <c r="C31" s="26"/>
      <c r="D31" s="151" t="str">
        <f>IF(V63&gt;13,"┼   ","|    ")</f>
        <v xml:space="preserve">|    </v>
      </c>
      <c r="E31" s="113" t="str">
        <f>IF(D32=3,"- - - - - - - -","")</f>
        <v/>
      </c>
      <c r="F31" s="16" t="str">
        <f>E31</f>
        <v/>
      </c>
      <c r="G31" s="16" t="str">
        <f>F31</f>
        <v/>
      </c>
      <c r="H31" s="16" t="str">
        <f>IF(D32=3,"XX","")</f>
        <v/>
      </c>
      <c r="I31" s="16" t="str">
        <f>G31</f>
        <v/>
      </c>
      <c r="J31" s="16" t="str">
        <f>I31</f>
        <v/>
      </c>
      <c r="K31" s="16" t="str">
        <f>J31</f>
        <v/>
      </c>
      <c r="L31" s="16" t="str">
        <f>K31</f>
        <v/>
      </c>
      <c r="M31" s="16" t="str">
        <f>L31</f>
        <v/>
      </c>
      <c r="N31" s="16" t="str">
        <f>H31</f>
        <v/>
      </c>
      <c r="O31" s="65" t="str">
        <f>M31</f>
        <v/>
      </c>
      <c r="P31" s="16" t="str">
        <f>O31</f>
        <v/>
      </c>
      <c r="Q31" s="101" t="str">
        <f>P31</f>
        <v/>
      </c>
      <c r="R31" s="22"/>
      <c r="S31" s="9">
        <f t="shared" si="0"/>
        <v>38.1</v>
      </c>
      <c r="T31" s="2" t="s">
        <v>9</v>
      </c>
      <c r="U31" s="10">
        <v>41</v>
      </c>
      <c r="V31" s="11">
        <v>12</v>
      </c>
      <c r="W31" s="11">
        <v>1</v>
      </c>
      <c r="X31" s="11">
        <v>1</v>
      </c>
      <c r="Y31" s="11">
        <v>1</v>
      </c>
      <c r="Z31" s="11">
        <v>1</v>
      </c>
      <c r="AA31" s="11">
        <v>1</v>
      </c>
      <c r="AB31" s="11">
        <v>1</v>
      </c>
      <c r="AC31" s="11">
        <v>1</v>
      </c>
      <c r="AD31" s="11">
        <v>1</v>
      </c>
      <c r="AE31" s="11">
        <v>1</v>
      </c>
      <c r="AF31" s="11">
        <v>1</v>
      </c>
      <c r="AG31" s="11">
        <v>1</v>
      </c>
      <c r="AH31" s="11">
        <v>1</v>
      </c>
    </row>
    <row r="32" spans="1:35" ht="14.25" x14ac:dyDescent="0.2">
      <c r="A32" s="30"/>
      <c r="B32" s="24"/>
      <c r="C32" s="26"/>
      <c r="D32" s="151" t="str">
        <f>IF(V63&gt;13,3,"|    ")</f>
        <v xml:space="preserve">|    </v>
      </c>
      <c r="E32" s="109"/>
      <c r="F32" s="16"/>
      <c r="G32" s="160"/>
      <c r="H32" s="15"/>
      <c r="I32" s="163"/>
      <c r="J32" s="16"/>
      <c r="K32" s="163"/>
      <c r="L32" s="15"/>
      <c r="M32" s="163"/>
      <c r="N32" s="16"/>
      <c r="O32" s="164"/>
      <c r="P32" s="15"/>
      <c r="Q32" s="165"/>
      <c r="R32" s="22"/>
      <c r="S32" s="9">
        <f t="shared" si="0"/>
        <v>41.1</v>
      </c>
      <c r="T32" s="2" t="s">
        <v>9</v>
      </c>
      <c r="U32" s="10">
        <v>44</v>
      </c>
      <c r="V32" s="11">
        <v>13</v>
      </c>
      <c r="W32" s="11">
        <v>1</v>
      </c>
      <c r="X32" s="11">
        <v>1</v>
      </c>
      <c r="Y32" s="11">
        <v>1</v>
      </c>
      <c r="Z32" s="11">
        <v>1</v>
      </c>
      <c r="AA32" s="11">
        <v>1</v>
      </c>
      <c r="AB32" s="11">
        <v>1</v>
      </c>
      <c r="AC32" s="11">
        <v>1</v>
      </c>
      <c r="AD32" s="11">
        <v>1</v>
      </c>
      <c r="AE32" s="11">
        <v>1</v>
      </c>
      <c r="AF32" s="11">
        <v>1</v>
      </c>
      <c r="AG32" s="11">
        <v>1</v>
      </c>
      <c r="AH32" s="11">
        <v>1</v>
      </c>
    </row>
    <row r="33" spans="1:34" ht="14.25" x14ac:dyDescent="0.2">
      <c r="A33" s="30"/>
      <c r="B33" s="26"/>
      <c r="C33" s="26"/>
      <c r="D33" s="151" t="str">
        <f>IF(AND($B$35&gt;0,$B$55&gt;0),2,"│   ")</f>
        <v xml:space="preserve">│   </v>
      </c>
      <c r="E33" s="109"/>
      <c r="F33" s="16"/>
      <c r="G33" s="16"/>
      <c r="H33" s="16"/>
      <c r="I33" s="16"/>
      <c r="J33" s="16"/>
      <c r="K33" s="16"/>
      <c r="L33" s="16"/>
      <c r="M33" s="16"/>
      <c r="N33" s="16"/>
      <c r="O33" s="65"/>
      <c r="P33" s="16"/>
      <c r="Q33" s="101"/>
      <c r="R33" s="22"/>
      <c r="S33" s="9">
        <f t="shared" si="0"/>
        <v>44.1</v>
      </c>
      <c r="T33" s="2" t="s">
        <v>9</v>
      </c>
      <c r="U33" s="10">
        <v>47</v>
      </c>
      <c r="V33" s="10">
        <v>14</v>
      </c>
      <c r="W33" s="11">
        <v>1</v>
      </c>
      <c r="X33" s="11">
        <v>1</v>
      </c>
      <c r="Y33" s="11">
        <v>1</v>
      </c>
      <c r="Z33" s="11">
        <v>1</v>
      </c>
      <c r="AA33" s="11">
        <v>1</v>
      </c>
      <c r="AB33" s="11">
        <v>1</v>
      </c>
      <c r="AC33" s="11">
        <v>1</v>
      </c>
      <c r="AD33" s="11">
        <v>1</v>
      </c>
      <c r="AE33" s="11">
        <v>1</v>
      </c>
      <c r="AF33" s="11">
        <v>1</v>
      </c>
      <c r="AG33" s="11">
        <v>1</v>
      </c>
      <c r="AH33" s="11">
        <v>1</v>
      </c>
    </row>
    <row r="34" spans="1:34" ht="14.25" x14ac:dyDescent="0.2">
      <c r="A34" s="30"/>
      <c r="B34" s="30"/>
      <c r="C34" s="26"/>
      <c r="D34" s="152" t="str">
        <f>IF(V63&gt;12,"┼   ","|    ")</f>
        <v xml:space="preserve">|    </v>
      </c>
      <c r="E34" s="111" t="str">
        <f>K34</f>
        <v/>
      </c>
      <c r="F34" s="16" t="str">
        <f>IF(D35=3,"- - - - - - - -","")</f>
        <v/>
      </c>
      <c r="G34" s="118" t="str">
        <f>F34</f>
        <v/>
      </c>
      <c r="H34" s="118" t="str">
        <f>G34</f>
        <v/>
      </c>
      <c r="I34" s="118" t="str">
        <f>H34</f>
        <v/>
      </c>
      <c r="J34" s="118" t="str">
        <f>I34</f>
        <v/>
      </c>
      <c r="K34" s="118" t="str">
        <f>IF(D35=3,"XX","")</f>
        <v/>
      </c>
      <c r="L34" s="118" t="str">
        <f>J34</f>
        <v/>
      </c>
      <c r="M34" s="118" t="str">
        <f>L34</f>
        <v/>
      </c>
      <c r="N34" s="118" t="str">
        <f>M34</f>
        <v/>
      </c>
      <c r="O34" s="161" t="str">
        <f>N34</f>
        <v/>
      </c>
      <c r="P34" s="118" t="str">
        <f>O34</f>
        <v/>
      </c>
      <c r="Q34" s="169" t="str">
        <f>K34</f>
        <v/>
      </c>
      <c r="R34" s="22"/>
      <c r="S34" s="9">
        <f t="shared" si="0"/>
        <v>47.1</v>
      </c>
      <c r="T34" s="2" t="s">
        <v>9</v>
      </c>
      <c r="U34" s="10">
        <v>50</v>
      </c>
      <c r="V34" s="10">
        <v>15</v>
      </c>
      <c r="W34" s="10">
        <v>1</v>
      </c>
      <c r="X34" s="10">
        <v>1</v>
      </c>
      <c r="Y34" s="10">
        <v>1</v>
      </c>
      <c r="Z34" s="10">
        <v>1</v>
      </c>
      <c r="AA34" s="10">
        <v>1</v>
      </c>
      <c r="AB34" s="10">
        <v>1</v>
      </c>
      <c r="AC34" s="10">
        <v>1</v>
      </c>
      <c r="AD34" s="10">
        <v>1</v>
      </c>
      <c r="AE34" s="10">
        <v>1</v>
      </c>
      <c r="AF34" s="10">
        <v>1</v>
      </c>
      <c r="AG34" s="10">
        <v>1</v>
      </c>
      <c r="AH34" s="10">
        <v>1</v>
      </c>
    </row>
    <row r="35" spans="1:34" ht="14.25" x14ac:dyDescent="0.2">
      <c r="A35" s="30"/>
      <c r="B35" s="30"/>
      <c r="C35" s="26"/>
      <c r="D35" s="151" t="str">
        <f>IF(V63&gt;12,3,"|    ")</f>
        <v xml:space="preserve">|    </v>
      </c>
      <c r="E35" s="113"/>
      <c r="F35" s="16"/>
      <c r="G35" s="16"/>
      <c r="H35" s="16"/>
      <c r="I35" s="16"/>
      <c r="J35" s="16"/>
      <c r="K35" s="16"/>
      <c r="L35" s="16"/>
      <c r="M35" s="16"/>
      <c r="N35" s="16"/>
      <c r="O35" s="65"/>
      <c r="P35" s="16"/>
      <c r="Q35" s="101"/>
      <c r="R35" s="22"/>
      <c r="S35" s="1"/>
      <c r="T35" s="1"/>
      <c r="U35" s="10"/>
      <c r="V35" s="8"/>
      <c r="W35" s="8"/>
      <c r="X35" s="8"/>
    </row>
    <row r="36" spans="1:34" ht="14.25" x14ac:dyDescent="0.2">
      <c r="A36" s="30"/>
      <c r="B36" s="30"/>
      <c r="C36" s="26"/>
      <c r="D36" s="150" t="s">
        <v>51</v>
      </c>
      <c r="E36" s="113"/>
      <c r="F36" s="16"/>
      <c r="G36" s="16"/>
      <c r="H36" s="16"/>
      <c r="I36" s="16"/>
      <c r="J36" s="16"/>
      <c r="K36" s="16"/>
      <c r="L36" s="16"/>
      <c r="M36" s="16"/>
      <c r="N36" s="16"/>
      <c r="O36" s="65"/>
      <c r="P36" s="16"/>
      <c r="Q36" s="101"/>
      <c r="R36" s="22"/>
      <c r="S36" s="1"/>
      <c r="T36" s="1"/>
      <c r="U36" s="10"/>
      <c r="V36" s="8"/>
      <c r="W36" s="8"/>
      <c r="X36" s="8"/>
    </row>
    <row r="37" spans="1:34" ht="14.25" x14ac:dyDescent="0.2">
      <c r="A37" s="30"/>
      <c r="B37" s="30"/>
      <c r="C37" s="26"/>
      <c r="D37" s="150" t="str">
        <f>IF(V63&gt;11,"┼   ","|    ")</f>
        <v xml:space="preserve">|    </v>
      </c>
      <c r="E37" s="113" t="str">
        <f>IF(D38=3,"- - - - - - - -","")</f>
        <v/>
      </c>
      <c r="F37" s="16" t="str">
        <f>E37</f>
        <v/>
      </c>
      <c r="G37" s="16" t="str">
        <f>F37</f>
        <v/>
      </c>
      <c r="H37" s="16" t="str">
        <f>N37</f>
        <v/>
      </c>
      <c r="I37" s="16" t="str">
        <f>G37</f>
        <v/>
      </c>
      <c r="J37" s="16" t="str">
        <f>I37</f>
        <v/>
      </c>
      <c r="K37" s="16" t="str">
        <f>J37</f>
        <v/>
      </c>
      <c r="L37" s="16" t="str">
        <f>K37</f>
        <v/>
      </c>
      <c r="M37" s="16" t="str">
        <f>L37</f>
        <v/>
      </c>
      <c r="N37" s="16" t="str">
        <f>IF(D38=3,"XX","")</f>
        <v/>
      </c>
      <c r="O37" s="65" t="str">
        <f>M37</f>
        <v/>
      </c>
      <c r="P37" s="16" t="str">
        <f>O37</f>
        <v/>
      </c>
      <c r="Q37" s="101" t="str">
        <f>P37</f>
        <v/>
      </c>
      <c r="R37" s="22"/>
      <c r="S37" s="1"/>
      <c r="T37" s="1"/>
      <c r="U37" s="10"/>
      <c r="V37" s="8"/>
      <c r="W37" s="8"/>
      <c r="X37" s="8"/>
    </row>
    <row r="38" spans="1:34" ht="14.25" x14ac:dyDescent="0.2">
      <c r="A38" s="30"/>
      <c r="B38" s="30"/>
      <c r="C38" s="26"/>
      <c r="D38" s="151" t="str">
        <f>IF(V63&gt;11,3,"|    ")</f>
        <v xml:space="preserve">|    </v>
      </c>
      <c r="E38" s="113"/>
      <c r="F38" s="16"/>
      <c r="G38" s="16"/>
      <c r="H38" s="16"/>
      <c r="I38" s="16"/>
      <c r="J38" s="16"/>
      <c r="K38" s="16"/>
      <c r="L38" s="16"/>
      <c r="M38" s="16"/>
      <c r="N38" s="16"/>
      <c r="O38" s="65"/>
      <c r="P38" s="16"/>
      <c r="Q38" s="101"/>
      <c r="R38" s="22"/>
      <c r="S38" s="1"/>
      <c r="T38" s="1"/>
      <c r="U38" s="10"/>
      <c r="V38" s="8"/>
      <c r="W38" s="8"/>
      <c r="X38" s="8"/>
    </row>
    <row r="39" spans="1:34" ht="14.25" x14ac:dyDescent="0.2">
      <c r="A39" s="30"/>
      <c r="B39" s="30"/>
      <c r="C39" s="26"/>
      <c r="D39" s="150" t="s">
        <v>51</v>
      </c>
      <c r="E39" s="113"/>
      <c r="F39" s="16"/>
      <c r="G39" s="16"/>
      <c r="H39" s="16"/>
      <c r="I39" s="16"/>
      <c r="J39" s="16"/>
      <c r="K39" s="16"/>
      <c r="L39" s="16"/>
      <c r="M39" s="16"/>
      <c r="N39" s="16"/>
      <c r="O39" s="65"/>
      <c r="P39" s="16"/>
      <c r="Q39" s="101"/>
      <c r="R39" s="22"/>
      <c r="S39" s="1"/>
      <c r="T39" s="1"/>
      <c r="U39" s="10"/>
      <c r="V39" s="8"/>
      <c r="W39" s="8"/>
      <c r="X39" s="8"/>
    </row>
    <row r="40" spans="1:34" ht="14.25" x14ac:dyDescent="0.2">
      <c r="A40" s="30"/>
      <c r="B40" s="30"/>
      <c r="C40" s="26"/>
      <c r="D40" s="150" t="str">
        <f>IF(V63&gt;10,"┼   ","|    ")</f>
        <v xml:space="preserve">|    </v>
      </c>
      <c r="E40" s="113" t="str">
        <f>K40</f>
        <v/>
      </c>
      <c r="F40" s="16" t="str">
        <f>IF(D41=3,"- - - - - - - -","")</f>
        <v/>
      </c>
      <c r="G40" s="16" t="str">
        <f>F40</f>
        <v/>
      </c>
      <c r="H40" s="16" t="str">
        <f>G40</f>
        <v/>
      </c>
      <c r="I40" s="16" t="str">
        <f>H40</f>
        <v/>
      </c>
      <c r="J40" s="16" t="str">
        <f>I40</f>
        <v/>
      </c>
      <c r="K40" s="16" t="str">
        <f>IF(D41=3,"XX","")</f>
        <v/>
      </c>
      <c r="L40" s="16" t="str">
        <f>J40</f>
        <v/>
      </c>
      <c r="M40" s="16" t="str">
        <f>L40</f>
        <v/>
      </c>
      <c r="N40" s="16" t="str">
        <f>M40</f>
        <v/>
      </c>
      <c r="O40" s="65" t="str">
        <f>N40</f>
        <v/>
      </c>
      <c r="P40" s="16" t="str">
        <f>O40</f>
        <v/>
      </c>
      <c r="Q40" s="101" t="str">
        <f>K40</f>
        <v/>
      </c>
      <c r="R40" s="22"/>
      <c r="S40" s="1"/>
      <c r="T40" s="1"/>
      <c r="U40" s="10"/>
      <c r="V40" s="8"/>
      <c r="W40" s="8"/>
      <c r="X40" s="8"/>
    </row>
    <row r="41" spans="1:34" ht="14.25" x14ac:dyDescent="0.2">
      <c r="A41" s="30"/>
      <c r="B41" s="30"/>
      <c r="C41" s="26"/>
      <c r="D41" s="151" t="str">
        <f>IF(V63&gt;10,3,"|    ")</f>
        <v xml:space="preserve">|    </v>
      </c>
      <c r="E41" s="113"/>
      <c r="F41" s="16"/>
      <c r="G41" s="16"/>
      <c r="H41" s="16"/>
      <c r="I41" s="16"/>
      <c r="J41" s="16"/>
      <c r="K41" s="16"/>
      <c r="L41" s="16"/>
      <c r="M41" s="16"/>
      <c r="N41" s="16"/>
      <c r="O41" s="65"/>
      <c r="P41" s="16"/>
      <c r="Q41" s="101"/>
      <c r="R41" s="22"/>
      <c r="S41" s="1"/>
      <c r="T41" s="1"/>
      <c r="U41" s="10"/>
      <c r="V41" s="8"/>
      <c r="W41" s="8"/>
      <c r="X41" s="8"/>
    </row>
    <row r="42" spans="1:34" ht="14.25" x14ac:dyDescent="0.2">
      <c r="A42" s="30"/>
      <c r="B42" s="30"/>
      <c r="C42" s="26"/>
      <c r="D42" s="150" t="s">
        <v>51</v>
      </c>
      <c r="E42" s="113"/>
      <c r="F42" s="16"/>
      <c r="G42" s="16"/>
      <c r="H42" s="16"/>
      <c r="I42" s="16"/>
      <c r="J42" s="16"/>
      <c r="K42" s="16"/>
      <c r="L42" s="16"/>
      <c r="M42" s="16"/>
      <c r="N42" s="16"/>
      <c r="O42" s="65"/>
      <c r="P42" s="16"/>
      <c r="Q42" s="101"/>
      <c r="R42" s="22"/>
      <c r="S42" s="1"/>
      <c r="T42" s="1"/>
      <c r="U42" s="10"/>
      <c r="V42" s="8"/>
      <c r="W42" s="8"/>
      <c r="X42" s="8"/>
    </row>
    <row r="43" spans="1:34" ht="14.25" x14ac:dyDescent="0.2">
      <c r="A43" s="30"/>
      <c r="B43" s="30"/>
      <c r="C43" s="26"/>
      <c r="D43" s="150" t="str">
        <f>IF(V63&gt;9,"┼   ","|    ")</f>
        <v xml:space="preserve">|    </v>
      </c>
      <c r="E43" s="113" t="str">
        <f>IF(D44=3,"- - - - - - - -","")</f>
        <v/>
      </c>
      <c r="F43" s="16" t="str">
        <f>E43</f>
        <v/>
      </c>
      <c r="G43" s="16" t="str">
        <f>F43</f>
        <v/>
      </c>
      <c r="H43" s="16" t="str">
        <f>IF(D44=3,"XX","")</f>
        <v/>
      </c>
      <c r="I43" s="16" t="str">
        <f>G43</f>
        <v/>
      </c>
      <c r="J43" s="16" t="str">
        <f>I43</f>
        <v/>
      </c>
      <c r="K43" s="16" t="str">
        <f>J43</f>
        <v/>
      </c>
      <c r="L43" s="16" t="str">
        <f>K43</f>
        <v/>
      </c>
      <c r="M43" s="16" t="str">
        <f>L43</f>
        <v/>
      </c>
      <c r="N43" s="16" t="str">
        <f>H43</f>
        <v/>
      </c>
      <c r="O43" s="65" t="str">
        <f>M43</f>
        <v/>
      </c>
      <c r="P43" s="16" t="str">
        <f>O43</f>
        <v/>
      </c>
      <c r="Q43" s="101" t="str">
        <f>P43</f>
        <v/>
      </c>
      <c r="R43" s="22"/>
      <c r="S43" s="1"/>
      <c r="T43" s="1"/>
      <c r="U43" s="10"/>
      <c r="V43" s="8"/>
      <c r="W43" s="8"/>
      <c r="X43" s="8"/>
    </row>
    <row r="44" spans="1:34" ht="14.25" x14ac:dyDescent="0.2">
      <c r="A44" s="30"/>
      <c r="B44" s="30"/>
      <c r="C44" s="26"/>
      <c r="D44" s="151" t="str">
        <f>IF(V63&gt;9,3,"|    ")</f>
        <v xml:space="preserve">|    </v>
      </c>
      <c r="E44" s="113"/>
      <c r="F44" s="16"/>
      <c r="G44" s="16"/>
      <c r="H44" s="16"/>
      <c r="I44" s="16"/>
      <c r="J44" s="16"/>
      <c r="K44" s="16"/>
      <c r="L44" s="16"/>
      <c r="M44" s="16"/>
      <c r="N44" s="16"/>
      <c r="O44" s="65"/>
      <c r="P44" s="16"/>
      <c r="Q44" s="101"/>
      <c r="R44" s="22"/>
      <c r="S44" s="1"/>
      <c r="T44" s="1"/>
      <c r="U44" s="10"/>
      <c r="V44" s="8"/>
      <c r="W44" s="8"/>
      <c r="X44" s="8"/>
    </row>
    <row r="45" spans="1:34" ht="14.25" x14ac:dyDescent="0.2">
      <c r="A45" s="30"/>
      <c r="B45" s="30"/>
      <c r="C45" s="26"/>
      <c r="D45" s="150" t="s">
        <v>51</v>
      </c>
      <c r="E45" s="113"/>
      <c r="F45" s="16"/>
      <c r="G45" s="16"/>
      <c r="H45" s="16"/>
      <c r="I45" s="16"/>
      <c r="J45" s="16"/>
      <c r="K45" s="16"/>
      <c r="L45" s="16"/>
      <c r="M45" s="16"/>
      <c r="N45" s="16"/>
      <c r="O45" s="65"/>
      <c r="P45" s="16"/>
      <c r="Q45" s="101"/>
      <c r="R45" s="22"/>
      <c r="S45" s="1"/>
      <c r="T45" s="1"/>
      <c r="U45" s="10"/>
      <c r="V45" s="8"/>
      <c r="W45" s="8"/>
      <c r="X45" s="8"/>
    </row>
    <row r="46" spans="1:34" ht="14.25" x14ac:dyDescent="0.2">
      <c r="A46" s="30"/>
      <c r="B46" s="30"/>
      <c r="C46" s="26"/>
      <c r="D46" s="150" t="str">
        <f>IF(V63&gt;8,"┼   ","|    ")</f>
        <v xml:space="preserve">|    </v>
      </c>
      <c r="E46" s="113" t="str">
        <f>K46</f>
        <v/>
      </c>
      <c r="F46" s="16" t="str">
        <f>IF(D47=30,"- - - - - - - -","")</f>
        <v/>
      </c>
      <c r="G46" s="16" t="str">
        <f>F46</f>
        <v/>
      </c>
      <c r="H46" s="16" t="str">
        <f>G46</f>
        <v/>
      </c>
      <c r="I46" s="16" t="str">
        <f>H46</f>
        <v/>
      </c>
      <c r="J46" s="16" t="str">
        <f>H46</f>
        <v/>
      </c>
      <c r="K46" s="16" t="str">
        <f>IF(D47=3,"XX","")</f>
        <v/>
      </c>
      <c r="L46" s="16" t="str">
        <f>J46</f>
        <v/>
      </c>
      <c r="M46" s="16" t="str">
        <f>L46</f>
        <v/>
      </c>
      <c r="N46" s="16" t="str">
        <f>M46</f>
        <v/>
      </c>
      <c r="O46" s="65" t="str">
        <f>N46</f>
        <v/>
      </c>
      <c r="P46" s="16" t="str">
        <f>O46</f>
        <v/>
      </c>
      <c r="Q46" s="101" t="str">
        <f>K46</f>
        <v/>
      </c>
      <c r="R46" s="22"/>
      <c r="S46" s="1"/>
      <c r="T46" s="1"/>
      <c r="U46" s="10"/>
      <c r="V46" s="8"/>
      <c r="W46" s="8"/>
      <c r="X46" s="8"/>
    </row>
    <row r="47" spans="1:34" ht="14.25" x14ac:dyDescent="0.2">
      <c r="A47" s="30"/>
      <c r="B47" s="30"/>
      <c r="C47" s="26"/>
      <c r="D47" s="151" t="str">
        <f>IF(V63&gt;8,3,"|    ")</f>
        <v xml:space="preserve">|    </v>
      </c>
      <c r="E47" s="113"/>
      <c r="F47" s="16"/>
      <c r="G47" s="16"/>
      <c r="H47" s="16"/>
      <c r="I47" s="16"/>
      <c r="J47" s="16"/>
      <c r="K47" s="16"/>
      <c r="L47" s="16"/>
      <c r="M47" s="16"/>
      <c r="N47" s="16"/>
      <c r="O47" s="65"/>
      <c r="P47" s="16"/>
      <c r="Q47" s="101"/>
      <c r="R47" s="22"/>
      <c r="S47" s="1"/>
      <c r="T47" s="1"/>
      <c r="U47" s="10"/>
      <c r="V47" s="8"/>
      <c r="W47" s="8"/>
      <c r="X47" s="8"/>
    </row>
    <row r="48" spans="1:34" ht="14.25" x14ac:dyDescent="0.2">
      <c r="A48" s="30"/>
      <c r="B48" s="30"/>
      <c r="C48" s="26"/>
      <c r="D48" s="150" t="s">
        <v>51</v>
      </c>
      <c r="E48" s="113"/>
      <c r="F48" s="16"/>
      <c r="G48" s="16"/>
      <c r="H48" s="16"/>
      <c r="I48" s="16"/>
      <c r="J48" s="16"/>
      <c r="K48" s="16"/>
      <c r="L48" s="16"/>
      <c r="M48" s="16"/>
      <c r="N48" s="16"/>
      <c r="O48" s="65"/>
      <c r="P48" s="16"/>
      <c r="Q48" s="101"/>
      <c r="R48" s="22"/>
      <c r="S48" s="1"/>
      <c r="T48" s="1"/>
      <c r="U48" s="10"/>
      <c r="V48" s="8"/>
      <c r="W48" s="8"/>
      <c r="X48" s="8"/>
    </row>
    <row r="49" spans="1:25" ht="14.25" x14ac:dyDescent="0.2">
      <c r="A49" s="30"/>
      <c r="B49" s="30"/>
      <c r="C49" s="26"/>
      <c r="D49" s="150" t="str">
        <f>IF(V63&gt;7,"┼   ","|    ")</f>
        <v xml:space="preserve">|    </v>
      </c>
      <c r="E49" s="113" t="str">
        <f>IF(D50=3,"- - - - - - - -","")</f>
        <v/>
      </c>
      <c r="F49" s="16" t="str">
        <f>E49</f>
        <v/>
      </c>
      <c r="G49" s="16" t="str">
        <f>F49</f>
        <v/>
      </c>
      <c r="H49" s="16" t="str">
        <f>IF(D50=3,"XX","")</f>
        <v/>
      </c>
      <c r="I49" s="16" t="str">
        <f>G49</f>
        <v/>
      </c>
      <c r="J49" s="16" t="str">
        <f>I49</f>
        <v/>
      </c>
      <c r="K49" s="16" t="str">
        <f>J49</f>
        <v/>
      </c>
      <c r="L49" s="16" t="str">
        <f>K49</f>
        <v/>
      </c>
      <c r="M49" s="16" t="str">
        <f>L49</f>
        <v/>
      </c>
      <c r="N49" s="16" t="str">
        <f>H49</f>
        <v/>
      </c>
      <c r="O49" s="65" t="str">
        <f>M49</f>
        <v/>
      </c>
      <c r="P49" s="16" t="str">
        <f>O49</f>
        <v/>
      </c>
      <c r="Q49" s="101" t="str">
        <f>P49</f>
        <v/>
      </c>
      <c r="R49" s="22"/>
      <c r="S49" s="1"/>
      <c r="T49" s="1"/>
      <c r="U49" s="10"/>
      <c r="V49" s="8"/>
      <c r="W49" s="8"/>
      <c r="X49" s="8"/>
    </row>
    <row r="50" spans="1:25" ht="14.25" x14ac:dyDescent="0.2">
      <c r="A50" s="30"/>
      <c r="B50" s="30"/>
      <c r="C50" s="26"/>
      <c r="D50" s="151" t="str">
        <f>IF(V63&gt;7,3,"|    ")</f>
        <v xml:space="preserve">|    </v>
      </c>
      <c r="E50" s="113"/>
      <c r="F50" s="16"/>
      <c r="G50" s="16"/>
      <c r="H50" s="16"/>
      <c r="I50" s="16"/>
      <c r="J50" s="16"/>
      <c r="K50" s="16"/>
      <c r="L50" s="16"/>
      <c r="M50" s="16"/>
      <c r="N50" s="16"/>
      <c r="O50" s="65"/>
      <c r="P50" s="16"/>
      <c r="Q50" s="101"/>
      <c r="R50" s="22"/>
      <c r="S50" s="1"/>
      <c r="T50" s="1"/>
      <c r="U50" s="10"/>
      <c r="V50" s="8"/>
      <c r="W50" s="8"/>
      <c r="X50" s="8"/>
    </row>
    <row r="51" spans="1:25" ht="14.25" x14ac:dyDescent="0.2">
      <c r="A51" s="30"/>
      <c r="B51" s="30"/>
      <c r="C51" s="26"/>
      <c r="D51" s="150" t="s">
        <v>51</v>
      </c>
      <c r="E51" s="113"/>
      <c r="F51" s="16"/>
      <c r="G51" s="16"/>
      <c r="H51" s="16"/>
      <c r="I51" s="16"/>
      <c r="J51" s="16"/>
      <c r="K51" s="16"/>
      <c r="L51" s="16"/>
      <c r="M51" s="16"/>
      <c r="N51" s="16"/>
      <c r="O51" s="65"/>
      <c r="P51" s="16"/>
      <c r="Q51" s="101"/>
      <c r="R51" s="22"/>
      <c r="S51" s="1"/>
      <c r="T51" s="1"/>
      <c r="U51" s="10"/>
      <c r="V51" s="8"/>
      <c r="W51" s="8"/>
      <c r="X51" s="8"/>
    </row>
    <row r="52" spans="1:25" ht="14.25" x14ac:dyDescent="0.2">
      <c r="A52" s="30"/>
      <c r="B52" s="30"/>
      <c r="C52" s="26"/>
      <c r="D52" s="150" t="str">
        <f>IF(V63&gt;6,"┼   ","|    ")</f>
        <v xml:space="preserve">|    </v>
      </c>
      <c r="E52" s="113" t="str">
        <f>K52</f>
        <v/>
      </c>
      <c r="F52" s="16" t="str">
        <f>IF(D53=3,"- - - - - - - -","")</f>
        <v/>
      </c>
      <c r="G52" s="16" t="str">
        <f>F52</f>
        <v/>
      </c>
      <c r="H52" s="16" t="str">
        <f>G52</f>
        <v/>
      </c>
      <c r="I52" s="16" t="str">
        <f>H52</f>
        <v/>
      </c>
      <c r="J52" s="16" t="str">
        <f>I52</f>
        <v/>
      </c>
      <c r="K52" s="16" t="str">
        <f>IF(D53=3,"XX","")</f>
        <v/>
      </c>
      <c r="L52" s="16" t="str">
        <f>J52</f>
        <v/>
      </c>
      <c r="M52" s="16" t="str">
        <f>L52</f>
        <v/>
      </c>
      <c r="N52" s="16" t="str">
        <f>L52</f>
        <v/>
      </c>
      <c r="O52" s="65" t="str">
        <f>N52</f>
        <v/>
      </c>
      <c r="P52" s="16" t="str">
        <f>N52</f>
        <v/>
      </c>
      <c r="Q52" s="101" t="str">
        <f>K52</f>
        <v/>
      </c>
      <c r="R52" s="22"/>
      <c r="S52" s="1"/>
      <c r="T52" s="1"/>
      <c r="U52" s="10"/>
      <c r="V52" s="8"/>
      <c r="W52" s="8"/>
      <c r="X52" s="8"/>
    </row>
    <row r="53" spans="1:25" ht="14.25" x14ac:dyDescent="0.2">
      <c r="A53" s="30"/>
      <c r="B53" s="30"/>
      <c r="C53" s="26"/>
      <c r="D53" s="151" t="str">
        <f>IF(V63&gt;6,3,"|    ")</f>
        <v xml:space="preserve">|    </v>
      </c>
      <c r="E53" s="113"/>
      <c r="F53" s="16"/>
      <c r="G53" s="16"/>
      <c r="H53" s="16"/>
      <c r="I53" s="16"/>
      <c r="J53" s="16"/>
      <c r="K53" s="16"/>
      <c r="L53" s="16"/>
      <c r="M53" s="16"/>
      <c r="N53" s="16"/>
      <c r="O53" s="65"/>
      <c r="P53" s="16"/>
      <c r="Q53" s="101"/>
      <c r="R53" s="22"/>
      <c r="S53" s="1"/>
      <c r="T53" s="1"/>
      <c r="U53" s="10"/>
      <c r="V53" s="8"/>
      <c r="W53" s="8"/>
      <c r="X53" s="8"/>
    </row>
    <row r="54" spans="1:25" ht="14.25" x14ac:dyDescent="0.2">
      <c r="A54" s="30"/>
      <c r="B54" s="39"/>
      <c r="C54" s="26"/>
      <c r="D54" s="151" t="s">
        <v>51</v>
      </c>
      <c r="E54" s="109"/>
      <c r="F54" s="16"/>
      <c r="G54" s="16"/>
      <c r="H54" s="16"/>
      <c r="I54" s="16"/>
      <c r="J54" s="16"/>
      <c r="K54" s="16"/>
      <c r="L54" s="16"/>
      <c r="M54" s="16"/>
      <c r="N54" s="16"/>
      <c r="O54" s="65"/>
      <c r="P54" s="16"/>
      <c r="Q54" s="101"/>
      <c r="R54" s="22"/>
      <c r="S54" s="1"/>
      <c r="T54" s="1"/>
      <c r="U54" s="1"/>
      <c r="V54" s="2"/>
      <c r="W54" s="1"/>
      <c r="X54" s="1"/>
    </row>
    <row r="55" spans="1:25" ht="14.25" x14ac:dyDescent="0.2">
      <c r="A55" s="30"/>
      <c r="B55" s="26"/>
      <c r="C55" s="26"/>
      <c r="D55" s="150" t="str">
        <f>IF(V63&gt;5,"┼   ","|    ")</f>
        <v xml:space="preserve">|    </v>
      </c>
      <c r="E55" s="113" t="str">
        <f>IF(D56=3,"- - - - - - - -","")</f>
        <v/>
      </c>
      <c r="F55" s="16" t="str">
        <f>E55</f>
        <v/>
      </c>
      <c r="G55" s="16" t="str">
        <f>F55</f>
        <v/>
      </c>
      <c r="H55" s="16" t="str">
        <f>N55</f>
        <v/>
      </c>
      <c r="I55" s="16" t="str">
        <f>G55</f>
        <v/>
      </c>
      <c r="J55" s="16" t="str">
        <f>I55</f>
        <v/>
      </c>
      <c r="K55" s="16" t="str">
        <f>J55</f>
        <v/>
      </c>
      <c r="L55" s="16" t="str">
        <f>K55</f>
        <v/>
      </c>
      <c r="M55" s="16" t="str">
        <f>L55</f>
        <v/>
      </c>
      <c r="N55" s="16" t="str">
        <f>IF(D56=3,"XX","")</f>
        <v/>
      </c>
      <c r="O55" s="65" t="str">
        <f>M55</f>
        <v/>
      </c>
      <c r="P55" s="16" t="str">
        <f>O55</f>
        <v/>
      </c>
      <c r="Q55" s="101" t="str">
        <f>P55</f>
        <v/>
      </c>
      <c r="R55" s="22"/>
      <c r="S55" s="7"/>
      <c r="T55" s="7"/>
      <c r="U55" s="7"/>
      <c r="V55" s="7"/>
      <c r="W55" s="7"/>
      <c r="X55" s="7"/>
    </row>
    <row r="56" spans="1:25" ht="14.25" x14ac:dyDescent="0.2">
      <c r="A56" s="30"/>
      <c r="B56" s="39"/>
      <c r="C56" s="26"/>
      <c r="D56" s="151" t="str">
        <f>IF(V63&gt;5,3,"|    ")</f>
        <v xml:space="preserve">|    </v>
      </c>
      <c r="E56" s="170"/>
      <c r="F56" s="16"/>
      <c r="G56" s="118"/>
      <c r="H56" s="118"/>
      <c r="I56" s="118"/>
      <c r="J56" s="16"/>
      <c r="K56" s="118"/>
      <c r="L56" s="118"/>
      <c r="M56" s="118"/>
      <c r="N56" s="16"/>
      <c r="O56" s="161"/>
      <c r="P56" s="118"/>
      <c r="Q56" s="169"/>
      <c r="R56" s="22"/>
      <c r="S56" s="1"/>
      <c r="T56" s="1"/>
      <c r="U56" s="1"/>
      <c r="V56" s="1"/>
      <c r="W56" s="1"/>
      <c r="X56" s="1"/>
    </row>
    <row r="57" spans="1:25" ht="14.25" x14ac:dyDescent="0.2">
      <c r="A57" s="30"/>
      <c r="B57" s="26"/>
      <c r="C57" s="26"/>
      <c r="D57" s="151" t="str">
        <f>IF($B$35=3,2,"│   ")</f>
        <v xml:space="preserve">│   </v>
      </c>
      <c r="E57" s="109"/>
      <c r="F57" s="16"/>
      <c r="G57" s="16"/>
      <c r="H57" s="16"/>
      <c r="I57" s="16"/>
      <c r="J57" s="16"/>
      <c r="K57" s="16"/>
      <c r="L57" s="16"/>
      <c r="M57" s="16"/>
      <c r="N57" s="16"/>
      <c r="O57" s="65"/>
      <c r="P57" s="16"/>
      <c r="Q57" s="101"/>
      <c r="R57" s="22"/>
      <c r="S57" s="7"/>
      <c r="T57" s="7"/>
      <c r="U57" s="7"/>
      <c r="V57" s="7"/>
      <c r="W57" s="7"/>
      <c r="X57" s="7"/>
    </row>
    <row r="58" spans="1:25" ht="14.25" x14ac:dyDescent="0.2">
      <c r="A58" s="30"/>
      <c r="B58" s="26"/>
      <c r="C58" s="26"/>
      <c r="D58" s="150" t="str">
        <f>IF(V63&gt;4,"┼   ","|    ")</f>
        <v xml:space="preserve">┼   </v>
      </c>
      <c r="E58" s="109" t="str">
        <f>K58</f>
        <v>XX</v>
      </c>
      <c r="F58" s="16" t="str">
        <f>IF(D59=3,"- - - - - - - -","")</f>
        <v>- - - - - - - -</v>
      </c>
      <c r="G58" s="16" t="str">
        <f>F58</f>
        <v>- - - - - - - -</v>
      </c>
      <c r="H58" s="16" t="str">
        <f>G58</f>
        <v>- - - - - - - -</v>
      </c>
      <c r="I58" s="16" t="str">
        <f>H58</f>
        <v>- - - - - - - -</v>
      </c>
      <c r="J58" s="16" t="str">
        <f>I58</f>
        <v>- - - - - - - -</v>
      </c>
      <c r="K58" s="16" t="str">
        <f>IF(D59=3,"XX","")</f>
        <v>XX</v>
      </c>
      <c r="L58" s="16" t="str">
        <f>J58</f>
        <v>- - - - - - - -</v>
      </c>
      <c r="M58" s="16" t="str">
        <f>L58</f>
        <v>- - - - - - - -</v>
      </c>
      <c r="N58" s="16" t="str">
        <f>L58</f>
        <v>- - - - - - - -</v>
      </c>
      <c r="O58" s="65" t="str">
        <f>N58</f>
        <v>- - - - - - - -</v>
      </c>
      <c r="P58" s="16" t="str">
        <f>O58</f>
        <v>- - - - - - - -</v>
      </c>
      <c r="Q58" s="101" t="str">
        <f>K58</f>
        <v>XX</v>
      </c>
      <c r="R58" s="22"/>
      <c r="S58" s="7"/>
      <c r="T58" s="7"/>
      <c r="U58" s="7"/>
      <c r="V58" s="1"/>
      <c r="W58" s="2" t="s">
        <v>14</v>
      </c>
      <c r="X58" s="1">
        <f>B18/(B20/12)/2</f>
        <v>21</v>
      </c>
      <c r="Y58" s="1"/>
    </row>
    <row r="59" spans="1:25" ht="14.25" x14ac:dyDescent="0.2">
      <c r="A59" s="30"/>
      <c r="B59" s="26"/>
      <c r="C59" s="26"/>
      <c r="D59" s="151">
        <f>IF(V63&gt;4,3,"|    ")</f>
        <v>3</v>
      </c>
      <c r="E59" s="109"/>
      <c r="F59" s="16"/>
      <c r="G59" s="16"/>
      <c r="H59" s="16"/>
      <c r="I59" s="16"/>
      <c r="J59" s="16"/>
      <c r="K59" s="16"/>
      <c r="L59" s="16"/>
      <c r="M59" s="16"/>
      <c r="N59" s="16"/>
      <c r="O59" s="65"/>
      <c r="P59" s="16"/>
      <c r="Q59" s="101"/>
      <c r="R59" s="22"/>
      <c r="S59" s="7"/>
      <c r="T59" s="7"/>
      <c r="U59" s="7"/>
      <c r="V59" s="7"/>
      <c r="W59" s="7"/>
      <c r="X59" s="7"/>
    </row>
    <row r="60" spans="1:25" ht="14.25" x14ac:dyDescent="0.2">
      <c r="A60" s="30"/>
      <c r="B60" s="26"/>
      <c r="C60" s="26"/>
      <c r="D60" s="150" t="s">
        <v>52</v>
      </c>
      <c r="E60" s="109"/>
      <c r="F60" s="16"/>
      <c r="G60" s="16"/>
      <c r="H60" s="16"/>
      <c r="I60" s="16"/>
      <c r="J60" s="16"/>
      <c r="K60" s="16"/>
      <c r="L60" s="16"/>
      <c r="M60" s="16"/>
      <c r="N60" s="16"/>
      <c r="O60" s="65"/>
      <c r="P60" s="16"/>
      <c r="Q60" s="101"/>
      <c r="R60" s="22"/>
      <c r="S60" s="7"/>
      <c r="T60" s="7"/>
      <c r="U60" s="7"/>
      <c r="V60" s="7"/>
      <c r="W60" s="7"/>
      <c r="X60" s="7"/>
    </row>
    <row r="61" spans="1:25" ht="15" thickBot="1" x14ac:dyDescent="0.25">
      <c r="A61" s="30"/>
      <c r="B61" s="26"/>
      <c r="C61" s="26"/>
      <c r="D61" s="154" t="str">
        <f>IF(V63&gt;3,"┼   ","|    ")</f>
        <v xml:space="preserve">┼   </v>
      </c>
      <c r="E61" s="113" t="str">
        <f>IF(D62=3,"- - - - - - - -","")</f>
        <v>- - - - - - - -</v>
      </c>
      <c r="F61" s="16" t="str">
        <f>E61</f>
        <v>- - - - - - - -</v>
      </c>
      <c r="G61" s="16" t="str">
        <f>F61</f>
        <v>- - - - - - - -</v>
      </c>
      <c r="H61" s="16" t="str">
        <f>IF(D62=3,"XX","")</f>
        <v>XX</v>
      </c>
      <c r="I61" s="16" t="str">
        <f>G61</f>
        <v>- - - - - - - -</v>
      </c>
      <c r="J61" s="16" t="str">
        <f>I61</f>
        <v>- - - - - - - -</v>
      </c>
      <c r="K61" s="16" t="str">
        <f>J61</f>
        <v>- - - - - - - -</v>
      </c>
      <c r="L61" s="16" t="str">
        <f>K61</f>
        <v>- - - - - - - -</v>
      </c>
      <c r="M61" s="16" t="str">
        <f>L61</f>
        <v>- - - - - - - -</v>
      </c>
      <c r="N61" s="16" t="str">
        <f>H61</f>
        <v>XX</v>
      </c>
      <c r="O61" s="65" t="str">
        <f>M61</f>
        <v>- - - - - - - -</v>
      </c>
      <c r="P61" s="16" t="str">
        <f>M61</f>
        <v>- - - - - - - -</v>
      </c>
      <c r="Q61" s="101" t="str">
        <f>P61</f>
        <v>- - - - - - - -</v>
      </c>
      <c r="R61" s="22"/>
      <c r="S61" s="7"/>
      <c r="T61" s="7"/>
      <c r="U61" s="7"/>
      <c r="V61" s="7"/>
      <c r="W61" s="7"/>
      <c r="X61" s="7"/>
    </row>
    <row r="62" spans="1:25" ht="14.25" x14ac:dyDescent="0.2">
      <c r="A62" s="30"/>
      <c r="B62" s="26"/>
      <c r="C62" s="26"/>
      <c r="D62" s="151">
        <f>IF(V63&gt;3,3,"|    ")</f>
        <v>3</v>
      </c>
      <c r="E62" s="109"/>
      <c r="F62" s="16"/>
      <c r="G62" s="16"/>
      <c r="H62" s="16"/>
      <c r="I62" s="16"/>
      <c r="J62" s="16"/>
      <c r="K62" s="16"/>
      <c r="L62" s="16"/>
      <c r="M62" s="16"/>
      <c r="N62" s="16"/>
      <c r="O62" s="65"/>
      <c r="P62" s="16"/>
      <c r="Q62" s="101"/>
      <c r="R62" s="22"/>
      <c r="S62" s="7"/>
      <c r="T62" s="7"/>
      <c r="U62" s="16"/>
      <c r="V62" s="144" t="s">
        <v>47</v>
      </c>
      <c r="W62" s="15"/>
      <c r="X62" s="7"/>
    </row>
    <row r="63" spans="1:25" ht="14.25" x14ac:dyDescent="0.2">
      <c r="A63" s="30"/>
      <c r="B63" s="26"/>
      <c r="C63" s="26"/>
      <c r="D63" s="150" t="s">
        <v>52</v>
      </c>
      <c r="E63" s="109"/>
      <c r="F63" s="16"/>
      <c r="G63" s="16"/>
      <c r="H63" s="16"/>
      <c r="I63" s="16"/>
      <c r="J63" s="16"/>
      <c r="K63" s="16"/>
      <c r="L63" s="16"/>
      <c r="M63" s="16"/>
      <c r="N63" s="16"/>
      <c r="O63" s="65"/>
      <c r="P63" s="16"/>
      <c r="Q63" s="101"/>
      <c r="R63" s="22"/>
      <c r="S63" s="7"/>
      <c r="T63" s="7"/>
      <c r="U63" s="16"/>
      <c r="V63" s="86">
        <f>VLOOKUP(B16,S19:AH34,4)</f>
        <v>5</v>
      </c>
      <c r="W63" s="15"/>
      <c r="X63" s="7"/>
    </row>
    <row r="64" spans="1:25" ht="14.25" x14ac:dyDescent="0.2">
      <c r="A64" s="30"/>
      <c r="B64" s="26"/>
      <c r="C64" s="26"/>
      <c r="D64" s="150" t="str">
        <f>IF(V63&gt;2,"┼   ","|    ")</f>
        <v xml:space="preserve">┼   </v>
      </c>
      <c r="E64" s="113" t="str">
        <f>IF(D65=2,"- - - - - - - -","")</f>
        <v>- - - - - - - -</v>
      </c>
      <c r="F64" s="16" t="str">
        <f>IF(D65=2,"XX","")</f>
        <v>XX</v>
      </c>
      <c r="G64" s="16" t="str">
        <f>E64</f>
        <v>- - - - - - - -</v>
      </c>
      <c r="H64" s="16" t="str">
        <f>E64</f>
        <v>- - - - - - - -</v>
      </c>
      <c r="I64" s="16" t="str">
        <f>H64</f>
        <v>- - - - - - - -</v>
      </c>
      <c r="J64" s="16" t="str">
        <f>F64</f>
        <v>XX</v>
      </c>
      <c r="K64" s="16" t="str">
        <f>I64</f>
        <v>- - - - - - - -</v>
      </c>
      <c r="L64" s="16" t="str">
        <f>K64</f>
        <v>- - - - - - - -</v>
      </c>
      <c r="M64" s="16" t="str">
        <f>L64</f>
        <v>- - - - - - - -</v>
      </c>
      <c r="N64" s="16" t="str">
        <f>F64</f>
        <v>XX</v>
      </c>
      <c r="O64" s="65" t="str">
        <f>M64</f>
        <v>- - - - - - - -</v>
      </c>
      <c r="P64" s="16" t="str">
        <f>O64</f>
        <v>- - - - - - - -</v>
      </c>
      <c r="Q64" s="101" t="str">
        <f>P64</f>
        <v>- - - - - - - -</v>
      </c>
      <c r="R64" s="22"/>
      <c r="S64" s="7"/>
      <c r="T64" s="7"/>
      <c r="U64" s="16"/>
      <c r="V64" s="73" t="s">
        <v>12</v>
      </c>
      <c r="W64" s="15"/>
      <c r="X64" s="7"/>
    </row>
    <row r="65" spans="1:24" ht="14.25" x14ac:dyDescent="0.2">
      <c r="A65" s="30"/>
      <c r="B65" s="26"/>
      <c r="C65" s="26"/>
      <c r="D65" s="151">
        <f>IF(V63&gt;2,2,"|    ")</f>
        <v>2</v>
      </c>
      <c r="E65" s="109"/>
      <c r="F65" s="16"/>
      <c r="G65" s="16"/>
      <c r="H65" s="16"/>
      <c r="I65" s="16"/>
      <c r="J65" s="16"/>
      <c r="K65" s="16"/>
      <c r="L65" s="16"/>
      <c r="M65" s="16"/>
      <c r="N65" s="16"/>
      <c r="O65" s="65"/>
      <c r="P65" s="16"/>
      <c r="Q65" s="101"/>
      <c r="R65" s="22"/>
      <c r="S65" s="7"/>
      <c r="T65" s="7"/>
      <c r="U65" s="16"/>
      <c r="V65" s="73">
        <f>VLOOKUP(B16,S19:AH34,5)</f>
        <v>1</v>
      </c>
      <c r="W65" s="15"/>
      <c r="X65" s="7"/>
    </row>
    <row r="66" spans="1:24" ht="14.25" x14ac:dyDescent="0.2">
      <c r="A66" s="30"/>
      <c r="B66" s="22"/>
      <c r="C66" s="26"/>
      <c r="D66" s="150" t="str">
        <f>IF(V63&gt;1,"┼   ","|   ")</f>
        <v xml:space="preserve">┼   </v>
      </c>
      <c r="E66" s="113" t="str">
        <f>IF(D67=2,"- - - - - - - -","")</f>
        <v>- - - - - - - -</v>
      </c>
      <c r="F66" s="16" t="str">
        <f>E66</f>
        <v>- - - - - - - -</v>
      </c>
      <c r="G66" s="16" t="str">
        <f>E66</f>
        <v>- - - - - - - -</v>
      </c>
      <c r="H66" s="16" t="str">
        <f>IF(D67=2,"XX","")</f>
        <v>XX</v>
      </c>
      <c r="I66" s="16" t="str">
        <f>E66</f>
        <v>- - - - - - - -</v>
      </c>
      <c r="J66" s="16" t="str">
        <f>F66</f>
        <v>- - - - - - - -</v>
      </c>
      <c r="K66" s="16" t="str">
        <f>E66</f>
        <v>- - - - - - - -</v>
      </c>
      <c r="L66" s="16" t="str">
        <f>H66</f>
        <v>XX</v>
      </c>
      <c r="M66" s="16" t="str">
        <f>K66</f>
        <v>- - - - - - - -</v>
      </c>
      <c r="N66" s="16" t="str">
        <f>M66</f>
        <v>- - - - - - - -</v>
      </c>
      <c r="O66" s="65" t="str">
        <f>N66</f>
        <v>- - - - - - - -</v>
      </c>
      <c r="P66" s="16" t="str">
        <f>H66</f>
        <v>XX</v>
      </c>
      <c r="Q66" s="101" t="str">
        <f>N66</f>
        <v>- - - - - - - -</v>
      </c>
      <c r="R66" s="22"/>
      <c r="S66" s="1"/>
      <c r="T66" s="1"/>
      <c r="U66" s="16"/>
      <c r="V66" s="145" t="s">
        <v>49</v>
      </c>
      <c r="W66" s="15"/>
      <c r="X66" s="1"/>
    </row>
    <row r="67" spans="1:24" ht="14.25" x14ac:dyDescent="0.2">
      <c r="A67" s="22"/>
      <c r="B67" s="24"/>
      <c r="C67" s="22"/>
      <c r="D67" s="151">
        <f>IF(V63&gt;1,2,"|    ")</f>
        <v>2</v>
      </c>
      <c r="E67" s="109"/>
      <c r="F67" s="16"/>
      <c r="G67" s="16"/>
      <c r="H67" s="16"/>
      <c r="I67" s="16"/>
      <c r="J67" s="16"/>
      <c r="K67" s="16"/>
      <c r="L67" s="16"/>
      <c r="M67" s="16"/>
      <c r="N67" s="16"/>
      <c r="O67" s="65"/>
      <c r="P67" s="16"/>
      <c r="Q67" s="101"/>
      <c r="R67" s="22"/>
      <c r="S67" s="7"/>
      <c r="T67" s="7"/>
      <c r="U67" s="16"/>
      <c r="V67" s="73">
        <f>VLOOKUP(B16,S19:AH34,6)</f>
        <v>1</v>
      </c>
      <c r="W67" s="15"/>
      <c r="X67" s="7"/>
    </row>
    <row r="68" spans="1:24" ht="14.25" x14ac:dyDescent="0.2">
      <c r="A68" s="22"/>
      <c r="B68" s="155"/>
      <c r="C68" s="22"/>
      <c r="D68" s="150" t="str">
        <f>IF(V63&gt;0,"┼   ","|    ")</f>
        <v xml:space="preserve">┼   </v>
      </c>
      <c r="E68" s="113" t="str">
        <f>IF(D69=2,"- - - - - - - -","")</f>
        <v>- - - - - - - -</v>
      </c>
      <c r="F68" s="16" t="str">
        <f>IF(D69=2,"XX","")</f>
        <v>XX</v>
      </c>
      <c r="G68" s="16" t="str">
        <f>E68</f>
        <v>- - - - - - - -</v>
      </c>
      <c r="H68" s="16" t="str">
        <f>E68</f>
        <v>- - - - - - - -</v>
      </c>
      <c r="I68" s="16" t="str">
        <f>E68</f>
        <v>- - - - - - - -</v>
      </c>
      <c r="J68" s="16" t="str">
        <f>F68</f>
        <v>XX</v>
      </c>
      <c r="K68" s="16" t="str">
        <f>E68</f>
        <v>- - - - - - - -</v>
      </c>
      <c r="L68" s="16" t="str">
        <f>E68</f>
        <v>- - - - - - - -</v>
      </c>
      <c r="M68" s="16" t="str">
        <f>E68</f>
        <v>- - - - - - - -</v>
      </c>
      <c r="N68" s="16" t="str">
        <f>F68</f>
        <v>XX</v>
      </c>
      <c r="O68" s="65" t="str">
        <f>E68</f>
        <v>- - - - - - - -</v>
      </c>
      <c r="P68" s="16" t="str">
        <f>E68</f>
        <v>- - - - - - - -</v>
      </c>
      <c r="Q68" s="101" t="str">
        <f>E68</f>
        <v>- - - - - - - -</v>
      </c>
      <c r="R68" s="22"/>
      <c r="S68" s="3"/>
      <c r="T68" s="3"/>
      <c r="U68" s="16"/>
      <c r="V68" s="145" t="s">
        <v>50</v>
      </c>
      <c r="W68" s="15"/>
      <c r="X68" s="3"/>
    </row>
    <row r="69" spans="1:24" ht="14.25" x14ac:dyDescent="0.2">
      <c r="A69" s="22"/>
      <c r="B69" s="24"/>
      <c r="C69" s="22"/>
      <c r="D69" s="156">
        <f>IF(V63&gt;0,2,"|    ")</f>
        <v>2</v>
      </c>
      <c r="E69" s="109"/>
      <c r="F69" s="16"/>
      <c r="G69" s="16"/>
      <c r="H69" s="16"/>
      <c r="I69" s="16"/>
      <c r="J69" s="16"/>
      <c r="K69" s="16"/>
      <c r="L69" s="16"/>
      <c r="M69" s="16"/>
      <c r="N69" s="16"/>
      <c r="O69" s="16"/>
      <c r="P69" s="16"/>
      <c r="Q69" s="101"/>
      <c r="R69" s="22"/>
      <c r="U69" s="16"/>
      <c r="V69" s="73">
        <f>VLOOKUP(B16,S19:AH34,7)</f>
        <v>1</v>
      </c>
      <c r="W69" s="15"/>
    </row>
    <row r="70" spans="1:24" ht="15" thickBot="1" x14ac:dyDescent="0.25">
      <c r="A70" s="22"/>
      <c r="B70" s="157"/>
      <c r="C70" s="22"/>
      <c r="D70" s="150" t="s">
        <v>54</v>
      </c>
      <c r="E70" s="122"/>
      <c r="F70" s="17"/>
      <c r="G70" s="17"/>
      <c r="H70" s="17"/>
      <c r="I70" s="17"/>
      <c r="J70" s="17"/>
      <c r="K70" s="17"/>
      <c r="L70" s="17"/>
      <c r="M70" s="17"/>
      <c r="N70" s="17"/>
      <c r="O70" s="17"/>
      <c r="P70" s="17"/>
      <c r="Q70" s="104"/>
      <c r="R70" s="22"/>
      <c r="S70" s="2"/>
      <c r="T70" s="2"/>
      <c r="U70" s="16"/>
      <c r="V70" s="145" t="s">
        <v>48</v>
      </c>
      <c r="W70" s="15"/>
      <c r="X70" s="2"/>
    </row>
    <row r="71" spans="1:24" x14ac:dyDescent="0.2">
      <c r="A71" s="22"/>
      <c r="B71" s="24"/>
      <c r="C71" s="22"/>
      <c r="D71" s="30"/>
      <c r="E71" s="26"/>
      <c r="F71" s="38" t="s">
        <v>21</v>
      </c>
      <c r="G71" s="38">
        <f>$B$20</f>
        <v>20</v>
      </c>
      <c r="H71" s="38" t="str">
        <f t="shared" ref="H71:P71" si="1">F71</f>
        <v>┼</v>
      </c>
      <c r="I71" s="38">
        <f t="shared" si="1"/>
        <v>20</v>
      </c>
      <c r="J71" s="38" t="str">
        <f t="shared" si="1"/>
        <v>┼</v>
      </c>
      <c r="K71" s="38">
        <f t="shared" si="1"/>
        <v>20</v>
      </c>
      <c r="L71" s="38" t="str">
        <f t="shared" si="1"/>
        <v>┼</v>
      </c>
      <c r="M71" s="38">
        <f t="shared" si="1"/>
        <v>20</v>
      </c>
      <c r="N71" s="38" t="str">
        <f t="shared" si="1"/>
        <v>┼</v>
      </c>
      <c r="O71" s="38">
        <f t="shared" si="1"/>
        <v>20</v>
      </c>
      <c r="P71" s="38" t="str">
        <f t="shared" si="1"/>
        <v>┼</v>
      </c>
      <c r="Q71" s="63" t="s">
        <v>30</v>
      </c>
      <c r="R71" s="22"/>
      <c r="S71" s="1"/>
      <c r="T71" s="1"/>
      <c r="U71" s="16"/>
      <c r="V71" s="73">
        <f>VLOOKUP(B16,S19:AH34,8)</f>
        <v>1</v>
      </c>
      <c r="W71" s="15"/>
      <c r="X71" s="1"/>
    </row>
    <row r="72" spans="1:24" x14ac:dyDescent="0.2">
      <c r="A72" s="22"/>
      <c r="B72" s="158"/>
      <c r="C72" s="22"/>
      <c r="D72" s="22"/>
      <c r="E72" s="22"/>
      <c r="F72" s="26"/>
      <c r="G72" s="26"/>
      <c r="H72" s="26"/>
      <c r="I72" s="26"/>
      <c r="J72" s="22"/>
      <c r="K72" s="26"/>
      <c r="L72" s="39"/>
      <c r="M72" s="26"/>
      <c r="N72" s="22"/>
      <c r="O72" s="26"/>
      <c r="P72" s="22"/>
      <c r="Q72" s="22"/>
      <c r="R72" s="22"/>
      <c r="V72" s="145" t="s">
        <v>48</v>
      </c>
    </row>
    <row r="73" spans="1:24" x14ac:dyDescent="0.2">
      <c r="A73" s="22"/>
      <c r="B73" s="22"/>
      <c r="C73" s="22"/>
      <c r="D73" s="22"/>
      <c r="E73" s="22"/>
      <c r="F73" s="23"/>
      <c r="G73" s="22"/>
      <c r="H73" s="22"/>
      <c r="I73" s="22"/>
      <c r="J73" s="22"/>
      <c r="K73" s="24" t="s">
        <v>0</v>
      </c>
      <c r="L73" s="22"/>
      <c r="M73" s="22"/>
      <c r="N73" s="22"/>
      <c r="O73" s="22"/>
      <c r="P73" s="22"/>
      <c r="Q73" s="22"/>
      <c r="R73" s="22"/>
      <c r="V73" s="147">
        <f>VLOOKUP(B16,S19:AH34,9)</f>
        <v>1</v>
      </c>
    </row>
    <row r="74" spans="1:24" x14ac:dyDescent="0.2">
      <c r="A74" s="22"/>
      <c r="B74" s="22"/>
      <c r="C74" s="22"/>
      <c r="D74" s="22"/>
      <c r="E74" s="22"/>
      <c r="F74" s="22"/>
      <c r="G74" s="22"/>
      <c r="H74" s="22"/>
      <c r="I74" s="22"/>
      <c r="J74" s="22"/>
      <c r="K74" s="22"/>
      <c r="L74" s="22"/>
      <c r="M74" s="22"/>
      <c r="N74" s="22"/>
      <c r="O74" s="22"/>
      <c r="P74" s="22"/>
      <c r="Q74" s="22"/>
      <c r="R74" s="22"/>
      <c r="V74" s="145" t="s">
        <v>48</v>
      </c>
    </row>
    <row r="75" spans="1:24" x14ac:dyDescent="0.2">
      <c r="A75" s="22"/>
      <c r="B75" s="22"/>
      <c r="C75" s="22"/>
      <c r="D75" s="22"/>
      <c r="E75" s="22"/>
      <c r="F75" s="22"/>
      <c r="G75" s="22"/>
      <c r="H75" s="22"/>
      <c r="I75" s="22"/>
      <c r="J75" s="22"/>
      <c r="K75" s="22"/>
      <c r="L75" s="22"/>
      <c r="M75" s="22"/>
      <c r="N75" s="22"/>
      <c r="O75" s="22"/>
      <c r="P75" s="22"/>
      <c r="Q75" s="22"/>
      <c r="R75" s="22"/>
      <c r="V75" s="148">
        <f>VLOOKUP(B16,S19:AH34,10)</f>
        <v>0</v>
      </c>
    </row>
    <row r="76" spans="1:24" x14ac:dyDescent="0.2">
      <c r="A76" s="22"/>
      <c r="B76" s="208" t="s">
        <v>70</v>
      </c>
      <c r="C76" s="208"/>
      <c r="D76" s="208"/>
      <c r="E76" s="208"/>
      <c r="F76" s="208"/>
      <c r="G76" s="208"/>
      <c r="H76" s="208"/>
      <c r="I76" s="208"/>
      <c r="J76" s="208"/>
      <c r="K76" s="208"/>
      <c r="L76" s="208"/>
      <c r="M76" s="208"/>
      <c r="N76" s="208"/>
      <c r="O76" s="208"/>
      <c r="P76" s="208"/>
      <c r="Q76" s="208"/>
      <c r="R76" s="22"/>
      <c r="V76" s="145" t="s">
        <v>48</v>
      </c>
    </row>
    <row r="77" spans="1:24" x14ac:dyDescent="0.2">
      <c r="A77" s="22"/>
      <c r="B77" s="208"/>
      <c r="C77" s="208"/>
      <c r="D77" s="208"/>
      <c r="E77" s="208"/>
      <c r="F77" s="208"/>
      <c r="G77" s="208"/>
      <c r="H77" s="208"/>
      <c r="I77" s="208"/>
      <c r="J77" s="208"/>
      <c r="K77" s="208"/>
      <c r="L77" s="208"/>
      <c r="M77" s="208"/>
      <c r="N77" s="208"/>
      <c r="O77" s="208"/>
      <c r="P77" s="208"/>
      <c r="Q77" s="208"/>
      <c r="R77" s="22"/>
      <c r="V77" s="148">
        <f>VLOOKUP(B16,S19:AH34,11)</f>
        <v>0</v>
      </c>
    </row>
    <row r="78" spans="1:24" x14ac:dyDescent="0.2">
      <c r="A78" s="22"/>
      <c r="B78" s="208"/>
      <c r="C78" s="208"/>
      <c r="D78" s="208"/>
      <c r="E78" s="208"/>
      <c r="F78" s="208"/>
      <c r="G78" s="208"/>
      <c r="H78" s="208"/>
      <c r="I78" s="208"/>
      <c r="J78" s="208"/>
      <c r="K78" s="208"/>
      <c r="L78" s="208"/>
      <c r="M78" s="208"/>
      <c r="N78" s="208"/>
      <c r="O78" s="208"/>
      <c r="P78" s="208"/>
      <c r="Q78" s="208"/>
      <c r="R78" s="22"/>
      <c r="V78" s="145" t="s">
        <v>48</v>
      </c>
    </row>
    <row r="79" spans="1:24" x14ac:dyDescent="0.2">
      <c r="A79" s="22"/>
      <c r="B79" s="208"/>
      <c r="C79" s="208"/>
      <c r="D79" s="208"/>
      <c r="E79" s="208"/>
      <c r="F79" s="208"/>
      <c r="G79" s="208"/>
      <c r="H79" s="208"/>
      <c r="I79" s="208"/>
      <c r="J79" s="208"/>
      <c r="K79" s="208"/>
      <c r="L79" s="208"/>
      <c r="M79" s="208"/>
      <c r="N79" s="208"/>
      <c r="O79" s="208"/>
      <c r="P79" s="208"/>
      <c r="Q79" s="208"/>
      <c r="R79" s="22"/>
      <c r="V79" s="148">
        <f>VLOOKUP(B16,S19:AH34,12)</f>
        <v>0</v>
      </c>
    </row>
    <row r="80" spans="1:24" x14ac:dyDescent="0.2">
      <c r="A80" s="22"/>
      <c r="B80" s="208"/>
      <c r="C80" s="208"/>
      <c r="D80" s="208"/>
      <c r="E80" s="208"/>
      <c r="F80" s="208"/>
      <c r="G80" s="208"/>
      <c r="H80" s="208"/>
      <c r="I80" s="208"/>
      <c r="J80" s="208"/>
      <c r="K80" s="208"/>
      <c r="L80" s="208"/>
      <c r="M80" s="208"/>
      <c r="N80" s="208"/>
      <c r="O80" s="208"/>
      <c r="P80" s="208"/>
      <c r="Q80" s="208"/>
      <c r="R80" s="22"/>
      <c r="V80" s="145" t="s">
        <v>48</v>
      </c>
    </row>
    <row r="81" spans="1:22" x14ac:dyDescent="0.2">
      <c r="A81" s="22"/>
      <c r="B81" s="208"/>
      <c r="C81" s="208"/>
      <c r="D81" s="208"/>
      <c r="E81" s="208"/>
      <c r="F81" s="208"/>
      <c r="G81" s="208"/>
      <c r="H81" s="208"/>
      <c r="I81" s="208"/>
      <c r="J81" s="208"/>
      <c r="K81" s="208"/>
      <c r="L81" s="208"/>
      <c r="M81" s="208"/>
      <c r="N81" s="208"/>
      <c r="O81" s="208"/>
      <c r="P81" s="208"/>
      <c r="Q81" s="208"/>
      <c r="R81" s="22"/>
      <c r="V81" s="148">
        <f>VLOOKUP(B16,S19:AH34,13)</f>
        <v>0</v>
      </c>
    </row>
    <row r="82" spans="1:22" x14ac:dyDescent="0.2">
      <c r="V82" s="145" t="s">
        <v>48</v>
      </c>
    </row>
    <row r="83" spans="1:22" x14ac:dyDescent="0.2">
      <c r="V83" s="148">
        <f>VLOOKUP(B16,S19:AH34,14)</f>
        <v>0</v>
      </c>
    </row>
    <row r="84" spans="1:22" x14ac:dyDescent="0.2">
      <c r="V84" s="145" t="s">
        <v>48</v>
      </c>
    </row>
    <row r="85" spans="1:22" x14ac:dyDescent="0.2">
      <c r="V85" s="148">
        <f>VLOOKUP(B16,S19:AH34,15)</f>
        <v>0</v>
      </c>
    </row>
    <row r="86" spans="1:22" x14ac:dyDescent="0.2">
      <c r="V86" s="145" t="s">
        <v>48</v>
      </c>
    </row>
    <row r="87" spans="1:22" ht="13.5" thickBot="1" x14ac:dyDescent="0.25">
      <c r="V87" s="149">
        <f>VLOOKUP(B16,S19:AH34,16)</f>
        <v>0</v>
      </c>
    </row>
    <row r="88" spans="1:22" x14ac:dyDescent="0.2">
      <c r="V88" s="146"/>
    </row>
    <row r="90" spans="1:22" x14ac:dyDescent="0.2">
      <c r="V90" s="146"/>
    </row>
    <row r="92" spans="1:22" x14ac:dyDescent="0.2">
      <c r="V92" s="146"/>
    </row>
  </sheetData>
  <sheetProtection algorithmName="SHA-512" hashValue="DOQz+cRkqEFGUoeXUcnpj61n8fgCxv1mtfs9gFZTapgvxIbm06Fqa150bsjBpVBVIn2TggQxnWzX7ZACp80eoA==" saltValue="A2LmK2ED8/g1ssIhqjbJag==" spinCount="100000" sheet="1" objects="1" scenarios="1" selectLockedCells="1"/>
  <mergeCells count="1">
    <mergeCell ref="B76:Q81"/>
  </mergeCells>
  <pageMargins left="0.7" right="0.7" top="0.75" bottom="0.75" header="0.3" footer="0.3"/>
  <pageSetup scale="54"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9"/>
  <sheetViews>
    <sheetView tabSelected="1" view="pageBreakPreview" zoomScaleNormal="100" zoomScaleSheetLayoutView="100" workbookViewId="0">
      <selection activeCell="B5" sqref="B5"/>
    </sheetView>
  </sheetViews>
  <sheetFormatPr defaultRowHeight="12.75" x14ac:dyDescent="0.2"/>
  <cols>
    <col min="1" max="1" width="12.42578125" customWidth="1"/>
    <col min="2" max="2" width="9.140625" bestFit="1" customWidth="1"/>
    <col min="5" max="5" width="1.7109375" customWidth="1"/>
    <col min="7" max="9" width="1.7109375" customWidth="1"/>
    <col min="11" max="13" width="1.7109375" customWidth="1"/>
    <col min="15" max="17" width="1.7109375" customWidth="1"/>
    <col min="18" max="18" width="8.7109375" customWidth="1"/>
    <col min="19" max="19" width="1.7109375" customWidth="1"/>
  </cols>
  <sheetData>
    <row r="1" spans="1:25" x14ac:dyDescent="0.2">
      <c r="A1" s="22"/>
      <c r="B1" s="22"/>
      <c r="C1" s="22"/>
      <c r="D1" s="22"/>
      <c r="E1" s="22"/>
      <c r="F1" s="22"/>
      <c r="G1" s="22"/>
      <c r="H1" s="22"/>
      <c r="I1" s="22"/>
      <c r="J1" s="22"/>
      <c r="K1" s="22"/>
      <c r="L1" s="22"/>
      <c r="M1" s="22"/>
      <c r="N1" s="22"/>
      <c r="O1" s="22"/>
      <c r="P1" s="22"/>
      <c r="Q1" s="22"/>
      <c r="R1" s="22"/>
      <c r="S1" s="22"/>
      <c r="T1" s="22"/>
    </row>
    <row r="2" spans="1:25" x14ac:dyDescent="0.2">
      <c r="A2" s="22"/>
      <c r="B2" s="22"/>
      <c r="C2" s="22"/>
      <c r="D2" s="22"/>
      <c r="E2" s="22"/>
      <c r="F2" s="22"/>
      <c r="G2" s="22"/>
      <c r="H2" s="22"/>
      <c r="I2" s="22"/>
      <c r="J2" s="22"/>
      <c r="K2" s="22"/>
      <c r="L2" s="22"/>
      <c r="M2" s="22"/>
      <c r="N2" s="22"/>
      <c r="O2" s="22"/>
      <c r="P2" s="22"/>
      <c r="Q2" s="22"/>
      <c r="R2" s="22"/>
      <c r="S2" s="22"/>
      <c r="T2" s="22"/>
    </row>
    <row r="3" spans="1:25" x14ac:dyDescent="0.2">
      <c r="A3" s="22"/>
      <c r="B3" s="22"/>
      <c r="C3" s="22"/>
      <c r="D3" s="22"/>
      <c r="E3" s="22"/>
      <c r="F3" s="22"/>
      <c r="G3" s="22"/>
      <c r="H3" s="22"/>
      <c r="I3" s="22"/>
      <c r="J3" s="22"/>
      <c r="K3" s="22"/>
      <c r="L3" s="22"/>
      <c r="M3" s="22"/>
      <c r="N3" s="22"/>
      <c r="O3" s="22"/>
      <c r="P3" s="22"/>
      <c r="Q3" s="22"/>
      <c r="R3" s="22"/>
      <c r="S3" s="22"/>
      <c r="T3" s="22"/>
    </row>
    <row r="4" spans="1:25" x14ac:dyDescent="0.2">
      <c r="A4" s="22"/>
      <c r="B4" s="22"/>
      <c r="C4" s="22"/>
      <c r="D4" s="22"/>
      <c r="E4" s="22"/>
      <c r="F4" s="22"/>
      <c r="G4" s="22"/>
      <c r="H4" s="22"/>
      <c r="I4" s="22"/>
      <c r="J4" s="22"/>
      <c r="K4" s="22"/>
      <c r="L4" s="22"/>
      <c r="M4" s="22"/>
      <c r="N4" s="22"/>
      <c r="O4" s="22"/>
      <c r="P4" s="22"/>
      <c r="Q4" s="22"/>
      <c r="R4" s="22"/>
      <c r="S4" s="22"/>
      <c r="T4" s="22"/>
    </row>
    <row r="5" spans="1:25" x14ac:dyDescent="0.2">
      <c r="A5" s="22" t="s">
        <v>32</v>
      </c>
      <c r="B5" s="191"/>
      <c r="C5" s="22"/>
      <c r="D5" s="22"/>
      <c r="E5" s="22"/>
      <c r="F5" s="22"/>
      <c r="G5" s="22"/>
      <c r="H5" s="22"/>
      <c r="I5" s="22"/>
      <c r="J5" s="22"/>
      <c r="K5" s="22"/>
      <c r="L5" s="22"/>
      <c r="M5" s="22"/>
      <c r="N5" s="22"/>
      <c r="O5" s="22"/>
      <c r="P5" s="22"/>
      <c r="Q5" s="22"/>
      <c r="R5" s="22"/>
      <c r="S5" s="22"/>
      <c r="T5" s="22"/>
    </row>
    <row r="6" spans="1:25" x14ac:dyDescent="0.2">
      <c r="A6" s="22" t="s">
        <v>33</v>
      </c>
      <c r="B6" s="186">
        <f ca="1">TODAY()</f>
        <v>45467</v>
      </c>
      <c r="C6" s="22"/>
      <c r="D6" s="22"/>
      <c r="E6" s="22"/>
      <c r="F6" s="22"/>
      <c r="G6" s="22"/>
      <c r="H6" s="22"/>
      <c r="I6" s="22"/>
      <c r="J6" s="22"/>
      <c r="K6" s="22"/>
      <c r="L6" s="22"/>
      <c r="M6" s="22"/>
      <c r="N6" s="22"/>
      <c r="O6" s="22"/>
      <c r="P6" s="22"/>
      <c r="Q6" s="22"/>
      <c r="R6" s="22"/>
      <c r="S6" s="22"/>
      <c r="T6" s="22"/>
    </row>
    <row r="7" spans="1:25" x14ac:dyDescent="0.2">
      <c r="A7" s="22" t="s">
        <v>34</v>
      </c>
      <c r="B7" s="23" t="s">
        <v>63</v>
      </c>
      <c r="C7" s="22"/>
      <c r="D7" s="22"/>
      <c r="E7" s="22"/>
      <c r="F7" s="22"/>
      <c r="G7" s="22"/>
      <c r="H7" s="22"/>
      <c r="I7" s="22"/>
      <c r="J7" s="22"/>
      <c r="K7" s="22"/>
      <c r="L7" s="22"/>
      <c r="M7" s="22"/>
      <c r="N7" s="22"/>
      <c r="O7" s="22"/>
      <c r="P7" s="22"/>
      <c r="Q7" s="22"/>
      <c r="R7" s="22"/>
      <c r="S7" s="22"/>
      <c r="T7" s="22"/>
    </row>
    <row r="8" spans="1:25" x14ac:dyDescent="0.2">
      <c r="A8" s="22"/>
      <c r="B8" s="23"/>
      <c r="C8" s="22"/>
      <c r="D8" s="22"/>
      <c r="E8" s="22"/>
      <c r="F8" s="22"/>
      <c r="G8" s="22"/>
      <c r="H8" s="22"/>
      <c r="I8" s="22"/>
      <c r="J8" s="22"/>
      <c r="K8" s="22"/>
      <c r="L8" s="22"/>
      <c r="M8" s="22"/>
      <c r="N8" s="22"/>
      <c r="O8" s="22"/>
      <c r="P8" s="22"/>
      <c r="Q8" s="22"/>
      <c r="R8" s="22"/>
      <c r="S8" s="22"/>
      <c r="T8" s="22"/>
    </row>
    <row r="9" spans="1:25" x14ac:dyDescent="0.2">
      <c r="A9" s="22"/>
      <c r="B9" s="23" t="s">
        <v>4</v>
      </c>
      <c r="C9" s="22"/>
      <c r="D9" s="22"/>
      <c r="E9" s="22"/>
      <c r="F9" s="22"/>
      <c r="G9" s="22"/>
      <c r="H9" s="22"/>
      <c r="I9" s="22"/>
      <c r="J9" s="22"/>
      <c r="K9" s="22"/>
      <c r="L9" s="22"/>
      <c r="M9" s="22"/>
      <c r="N9" s="22"/>
      <c r="O9" s="22"/>
      <c r="P9" s="22"/>
      <c r="Q9" s="22"/>
      <c r="R9" s="22"/>
      <c r="S9" s="22"/>
      <c r="T9" s="22"/>
    </row>
    <row r="10" spans="1:25" x14ac:dyDescent="0.2">
      <c r="A10" s="22"/>
      <c r="B10" s="23" t="s">
        <v>15</v>
      </c>
      <c r="C10" s="22"/>
      <c r="D10" s="22"/>
      <c r="E10" s="22"/>
      <c r="F10" s="22"/>
      <c r="G10" s="22"/>
      <c r="H10" s="22"/>
      <c r="I10" s="22"/>
      <c r="J10" s="22"/>
      <c r="K10" s="22"/>
      <c r="L10" s="22"/>
      <c r="M10" s="22"/>
      <c r="N10" s="22"/>
      <c r="O10" s="22"/>
      <c r="P10" s="22"/>
      <c r="Q10" s="22"/>
      <c r="R10" s="22"/>
      <c r="S10" s="22"/>
      <c r="T10" s="22"/>
    </row>
    <row r="11" spans="1:25" x14ac:dyDescent="0.2">
      <c r="A11" s="22"/>
      <c r="B11" s="23" t="s">
        <v>16</v>
      </c>
      <c r="C11" s="22"/>
      <c r="D11" s="22"/>
      <c r="E11" s="22"/>
      <c r="F11" s="22"/>
      <c r="G11" s="22"/>
      <c r="H11" s="22"/>
      <c r="I11" s="22"/>
      <c r="J11" s="22"/>
      <c r="K11" s="22"/>
      <c r="L11" s="22"/>
      <c r="M11" s="24" t="s">
        <v>5</v>
      </c>
      <c r="N11" s="22"/>
      <c r="O11" s="22"/>
      <c r="P11" s="22"/>
      <c r="Q11" s="22"/>
      <c r="R11" s="22"/>
      <c r="S11" s="22"/>
      <c r="T11" s="22"/>
    </row>
    <row r="12" spans="1:25" x14ac:dyDescent="0.2">
      <c r="A12" s="22"/>
      <c r="B12" s="23" t="s">
        <v>17</v>
      </c>
      <c r="C12" s="22"/>
      <c r="D12" s="22"/>
      <c r="E12" s="22"/>
      <c r="F12" s="22"/>
      <c r="G12" s="22"/>
      <c r="H12" s="22"/>
      <c r="I12" s="22"/>
      <c r="J12" s="22"/>
      <c r="K12" s="22"/>
      <c r="L12" s="22"/>
      <c r="M12" s="24"/>
      <c r="N12" s="22"/>
      <c r="O12" s="22"/>
      <c r="P12" s="22"/>
      <c r="Q12" s="22"/>
      <c r="R12" s="22"/>
      <c r="S12" s="22"/>
      <c r="T12" s="22"/>
    </row>
    <row r="13" spans="1:25" ht="13.5" thickBot="1" x14ac:dyDescent="0.25">
      <c r="A13" s="22"/>
      <c r="B13" s="23"/>
      <c r="C13" s="22"/>
      <c r="D13" s="22"/>
      <c r="E13" s="22"/>
      <c r="F13" s="22"/>
      <c r="G13" s="22"/>
      <c r="H13" s="22"/>
      <c r="I13" s="22"/>
      <c r="J13" s="22"/>
      <c r="K13" s="22"/>
      <c r="L13" s="22"/>
      <c r="M13" s="24"/>
      <c r="N13" s="22"/>
      <c r="O13" s="22"/>
      <c r="P13" s="22"/>
      <c r="Q13" s="22"/>
      <c r="R13" s="22"/>
      <c r="S13" s="22"/>
      <c r="T13" s="22"/>
      <c r="Y13" t="s">
        <v>77</v>
      </c>
    </row>
    <row r="14" spans="1:25" ht="13.5" thickBot="1" x14ac:dyDescent="0.25">
      <c r="A14" s="22"/>
      <c r="B14" s="24"/>
      <c r="C14" s="22"/>
      <c r="D14" s="25" t="s">
        <v>23</v>
      </c>
      <c r="E14" s="107"/>
      <c r="F14" s="180"/>
      <c r="G14" s="180"/>
      <c r="H14" s="85"/>
      <c r="I14" s="95"/>
      <c r="J14" s="95"/>
      <c r="K14" s="95"/>
      <c r="L14" s="85"/>
      <c r="M14" s="95"/>
      <c r="N14" s="95"/>
      <c r="O14" s="95"/>
      <c r="P14" s="85"/>
      <c r="Q14" s="95"/>
      <c r="R14" s="95"/>
      <c r="S14" s="97"/>
      <c r="T14" s="22"/>
      <c r="W14" t="s">
        <v>76</v>
      </c>
      <c r="Y14" t="s">
        <v>78</v>
      </c>
    </row>
    <row r="15" spans="1:25" ht="13.5" thickBot="1" x14ac:dyDescent="0.25">
      <c r="A15" s="22"/>
      <c r="B15" s="203"/>
      <c r="C15" s="26"/>
      <c r="D15" s="171" t="s">
        <v>62</v>
      </c>
      <c r="E15" s="109"/>
      <c r="F15" s="175"/>
      <c r="G15" s="175"/>
      <c r="H15" s="86"/>
      <c r="I15" s="15"/>
      <c r="J15" s="15"/>
      <c r="K15" s="15"/>
      <c r="L15" s="86"/>
      <c r="M15" s="15"/>
      <c r="N15" s="15"/>
      <c r="O15" s="15"/>
      <c r="P15" s="86"/>
      <c r="Q15" s="65"/>
      <c r="R15" s="15"/>
      <c r="S15" s="99"/>
      <c r="T15" s="22"/>
      <c r="W15" s="205">
        <f>IF(B23="F-Rail", 3, IF(B23="E-Rail", 2, 1))</f>
        <v>2</v>
      </c>
      <c r="Y15" t="s">
        <v>80</v>
      </c>
    </row>
    <row r="16" spans="1:25" ht="13.5" thickBot="1" x14ac:dyDescent="0.25">
      <c r="A16" s="22"/>
      <c r="B16" s="24" t="s">
        <v>13</v>
      </c>
      <c r="C16" s="26"/>
      <c r="D16" s="35" t="s">
        <v>62</v>
      </c>
      <c r="E16" s="111"/>
      <c r="F16" s="115"/>
      <c r="G16" s="115"/>
      <c r="H16" s="73"/>
      <c r="I16" s="15"/>
      <c r="J16" s="16"/>
      <c r="K16" s="15"/>
      <c r="L16" s="73"/>
      <c r="M16" s="15"/>
      <c r="N16" s="16"/>
      <c r="O16" s="15"/>
      <c r="P16" s="73"/>
      <c r="Q16" s="65"/>
      <c r="R16" s="15"/>
      <c r="S16" s="99"/>
      <c r="T16" s="22"/>
    </row>
    <row r="17" spans="1:27" ht="13.5" thickBot="1" x14ac:dyDescent="0.25">
      <c r="A17" s="22"/>
      <c r="B17" s="193">
        <v>16</v>
      </c>
      <c r="C17" s="26"/>
      <c r="D17" s="171" t="s">
        <v>62</v>
      </c>
      <c r="E17" s="109"/>
      <c r="F17" s="175"/>
      <c r="G17" s="175"/>
      <c r="H17" s="73"/>
      <c r="I17" s="16"/>
      <c r="J17" s="16"/>
      <c r="K17" s="16"/>
      <c r="L17" s="73"/>
      <c r="M17" s="16"/>
      <c r="N17" s="16"/>
      <c r="O17" s="16"/>
      <c r="P17" s="73"/>
      <c r="Q17" s="65"/>
      <c r="R17" s="16"/>
      <c r="S17" s="101"/>
      <c r="T17" s="22"/>
    </row>
    <row r="18" spans="1:27" ht="13.5" thickBot="1" x14ac:dyDescent="0.25">
      <c r="A18" s="30"/>
      <c r="B18" s="31" t="s">
        <v>19</v>
      </c>
      <c r="C18" s="26"/>
      <c r="D18" s="171" t="s">
        <v>62</v>
      </c>
      <c r="E18" s="109"/>
      <c r="F18" s="175"/>
      <c r="G18" s="175"/>
      <c r="H18" s="73"/>
      <c r="I18" s="15"/>
      <c r="J18" s="16"/>
      <c r="K18" s="15"/>
      <c r="L18" s="73"/>
      <c r="M18" s="15"/>
      <c r="N18" s="16"/>
      <c r="O18" s="15"/>
      <c r="P18" s="73"/>
      <c r="Q18" s="65"/>
      <c r="R18" s="15"/>
      <c r="S18" s="99"/>
      <c r="T18" s="22"/>
    </row>
    <row r="19" spans="1:27" ht="13.5" thickBot="1" x14ac:dyDescent="0.25">
      <c r="A19" s="30"/>
      <c r="B19" s="193">
        <v>76</v>
      </c>
      <c r="C19" s="26"/>
      <c r="D19" s="171" t="s">
        <v>62</v>
      </c>
      <c r="E19" s="109"/>
      <c r="F19" s="175"/>
      <c r="G19" s="175"/>
      <c r="H19" s="73"/>
      <c r="I19" s="16"/>
      <c r="J19" s="16"/>
      <c r="K19" s="16"/>
      <c r="L19" s="73"/>
      <c r="M19" s="16"/>
      <c r="N19" s="16"/>
      <c r="O19" s="16"/>
      <c r="P19" s="73"/>
      <c r="Q19" s="65"/>
      <c r="R19" s="16"/>
      <c r="S19" s="101"/>
      <c r="T19" s="22"/>
      <c r="U19" s="5" t="s">
        <v>6</v>
      </c>
      <c r="V19" s="5"/>
      <c r="W19" s="5" t="s">
        <v>7</v>
      </c>
      <c r="X19" s="5" t="s">
        <v>8</v>
      </c>
      <c r="Y19" s="5" t="s">
        <v>27</v>
      </c>
      <c r="Z19" s="5" t="s">
        <v>28</v>
      </c>
      <c r="AA19" s="5" t="s">
        <v>29</v>
      </c>
    </row>
    <row r="20" spans="1:27" ht="13.5" thickBot="1" x14ac:dyDescent="0.25">
      <c r="A20" s="30"/>
      <c r="B20" s="31" t="s">
        <v>56</v>
      </c>
      <c r="C20" s="26"/>
      <c r="D20" s="35" t="s">
        <v>62</v>
      </c>
      <c r="E20" s="111"/>
      <c r="F20" s="115"/>
      <c r="G20" s="115"/>
      <c r="H20" s="73"/>
      <c r="I20" s="16"/>
      <c r="J20" s="16"/>
      <c r="K20" s="16"/>
      <c r="L20" s="73"/>
      <c r="M20" s="16"/>
      <c r="N20" s="16"/>
      <c r="O20" s="16"/>
      <c r="P20" s="73"/>
      <c r="Q20" s="65"/>
      <c r="R20" s="16"/>
      <c r="S20" s="101"/>
      <c r="T20" s="22"/>
      <c r="U20" s="9">
        <v>1</v>
      </c>
      <c r="V20" s="2" t="s">
        <v>9</v>
      </c>
      <c r="W20" s="10">
        <v>27</v>
      </c>
      <c r="X20" s="11">
        <v>1</v>
      </c>
      <c r="Y20" s="11">
        <v>2</v>
      </c>
      <c r="Z20" s="11">
        <v>0</v>
      </c>
      <c r="AA20" s="11">
        <v>0</v>
      </c>
    </row>
    <row r="21" spans="1:27" ht="13.5" thickBot="1" x14ac:dyDescent="0.25">
      <c r="A21" s="30"/>
      <c r="B21" s="194">
        <v>21</v>
      </c>
      <c r="C21" s="26"/>
      <c r="D21" s="25" t="s">
        <v>25</v>
      </c>
      <c r="E21" s="113"/>
      <c r="F21" s="174"/>
      <c r="G21" s="174"/>
      <c r="H21" s="73"/>
      <c r="I21" s="16"/>
      <c r="J21" s="16" t="str">
        <f>IF(B17&gt;52,"Contact","")</f>
        <v/>
      </c>
      <c r="K21" s="16"/>
      <c r="L21" s="73"/>
      <c r="M21" s="16"/>
      <c r="N21" s="16" t="str">
        <f>IF(B17&gt;52,"BERGER","")</f>
        <v/>
      </c>
      <c r="O21" s="16"/>
      <c r="P21" s="73"/>
      <c r="Q21" s="65"/>
      <c r="R21" s="16"/>
      <c r="S21" s="101"/>
      <c r="T21" s="22"/>
      <c r="U21" s="9">
        <f>W20+0.5</f>
        <v>27.5</v>
      </c>
      <c r="V21" s="2" t="s">
        <v>9</v>
      </c>
      <c r="W21" s="10">
        <v>52</v>
      </c>
      <c r="X21" s="11">
        <v>1</v>
      </c>
      <c r="Y21" s="11">
        <v>2</v>
      </c>
      <c r="Z21" s="11">
        <v>2</v>
      </c>
      <c r="AA21" s="11">
        <v>0</v>
      </c>
    </row>
    <row r="22" spans="1:27" ht="13.5" thickBot="1" x14ac:dyDescent="0.25">
      <c r="A22" s="30"/>
      <c r="B22" s="24" t="s">
        <v>79</v>
      </c>
      <c r="C22" s="26"/>
      <c r="D22" s="27" t="str">
        <f>IF(B17&gt;27,(B17-D37)/2,"|   ")</f>
        <v xml:space="preserve">|   </v>
      </c>
      <c r="E22" s="109"/>
      <c r="F22" s="175"/>
      <c r="G22" s="175"/>
      <c r="H22" s="86"/>
      <c r="I22" s="15"/>
      <c r="J22" s="15"/>
      <c r="K22" s="15"/>
      <c r="L22" s="86"/>
      <c r="M22" s="15"/>
      <c r="N22" s="15"/>
      <c r="O22" s="15"/>
      <c r="P22" s="86"/>
      <c r="Q22" s="65"/>
      <c r="R22" s="15"/>
      <c r="S22" s="99"/>
      <c r="T22" s="22"/>
      <c r="U22" s="9"/>
      <c r="V22" s="2"/>
      <c r="W22" s="10"/>
      <c r="X22" s="11"/>
      <c r="Y22" s="11"/>
      <c r="Z22" s="11"/>
      <c r="AA22" s="11"/>
    </row>
    <row r="23" spans="1:27" ht="13.5" thickBot="1" x14ac:dyDescent="0.25">
      <c r="A23" s="30"/>
      <c r="B23" s="204" t="s">
        <v>78</v>
      </c>
      <c r="C23" s="26"/>
      <c r="D23" s="25" t="s">
        <v>25</v>
      </c>
      <c r="E23" s="113"/>
      <c r="F23" s="174"/>
      <c r="G23" s="174"/>
      <c r="H23" s="86"/>
      <c r="I23" s="15"/>
      <c r="J23" s="15"/>
      <c r="K23" s="18" t="str">
        <f>IF(B25="Contact Berger", "Contact Berger","")</f>
        <v/>
      </c>
      <c r="L23" s="86"/>
      <c r="M23" s="15"/>
      <c r="N23" s="15"/>
      <c r="O23" s="15"/>
      <c r="P23" s="86"/>
      <c r="Q23" s="65"/>
      <c r="R23" s="15"/>
      <c r="S23" s="99"/>
      <c r="T23" s="22"/>
      <c r="U23" s="9"/>
      <c r="V23" s="2"/>
      <c r="W23" s="10"/>
      <c r="X23" s="11"/>
      <c r="Y23" s="11"/>
      <c r="Z23" s="11"/>
      <c r="AA23" s="11"/>
    </row>
    <row r="24" spans="1:27" ht="13.5" thickBot="1" x14ac:dyDescent="0.25">
      <c r="A24" s="30"/>
      <c r="B24" s="24" t="s">
        <v>58</v>
      </c>
      <c r="C24" s="26"/>
      <c r="D24" s="35" t="s">
        <v>62</v>
      </c>
      <c r="E24" s="170"/>
      <c r="F24" s="176"/>
      <c r="G24" s="115"/>
      <c r="H24" s="86"/>
      <c r="I24" s="15"/>
      <c r="J24" s="16"/>
      <c r="K24" s="65"/>
      <c r="L24" s="86"/>
      <c r="M24" s="15"/>
      <c r="N24" s="16"/>
      <c r="O24" s="15"/>
      <c r="P24" s="86"/>
      <c r="Q24" s="65"/>
      <c r="R24" s="15"/>
      <c r="S24" s="99"/>
      <c r="T24" s="22"/>
      <c r="U24" s="9"/>
      <c r="V24" s="2"/>
      <c r="W24" s="10"/>
      <c r="X24" s="11"/>
      <c r="Y24" s="11"/>
      <c r="Z24" s="11"/>
      <c r="AA24" s="11"/>
    </row>
    <row r="25" spans="1:27" ht="13.5" thickBot="1" x14ac:dyDescent="0.25">
      <c r="A25" s="30"/>
      <c r="B25" s="172">
        <f>ROUND(B19*12/B21,0)</f>
        <v>43</v>
      </c>
      <c r="C25" s="26"/>
      <c r="D25" s="171" t="s">
        <v>62</v>
      </c>
      <c r="E25" s="181"/>
      <c r="F25" s="177"/>
      <c r="G25" s="175"/>
      <c r="H25" s="73"/>
      <c r="I25" s="16"/>
      <c r="J25" s="16"/>
      <c r="K25" s="16"/>
      <c r="L25" s="73"/>
      <c r="M25" s="16"/>
      <c r="N25" s="16"/>
      <c r="O25" s="16"/>
      <c r="P25" s="73"/>
      <c r="Q25" s="65"/>
      <c r="R25" s="16"/>
      <c r="S25" s="101"/>
      <c r="T25" s="22"/>
      <c r="U25" s="9"/>
      <c r="V25" s="2"/>
      <c r="W25" s="10"/>
      <c r="X25" s="11"/>
      <c r="Y25" s="11"/>
      <c r="Z25" s="11"/>
      <c r="AA25" s="11"/>
    </row>
    <row r="26" spans="1:27" ht="13.5" thickBot="1" x14ac:dyDescent="0.25">
      <c r="A26" s="30"/>
      <c r="B26" s="24" t="s">
        <v>59</v>
      </c>
      <c r="C26" s="26"/>
      <c r="D26" s="27" t="str">
        <f>IF(AND($X$38&gt;0,$X$40&gt;0),"┼─","│  ")</f>
        <v xml:space="preserve">│  </v>
      </c>
      <c r="E26" s="109"/>
      <c r="F26" s="175" t="str">
        <f>J26</f>
        <v/>
      </c>
      <c r="G26" s="175"/>
      <c r="H26" s="73" t="str">
        <f>IF(AND($X$38=2,$X$40&gt;0),"====XX====","")</f>
        <v/>
      </c>
      <c r="I26" s="15"/>
      <c r="J26" s="15" t="str">
        <f>IF(B17&gt;27,"=========","")</f>
        <v/>
      </c>
      <c r="K26" s="15"/>
      <c r="L26" s="73" t="str">
        <f>H26</f>
        <v/>
      </c>
      <c r="M26" s="15"/>
      <c r="N26" s="15" t="str">
        <f>J26</f>
        <v/>
      </c>
      <c r="O26" s="15"/>
      <c r="P26" s="73" t="str">
        <f>H26</f>
        <v/>
      </c>
      <c r="Q26" s="65"/>
      <c r="R26" s="15" t="str">
        <f>J26</f>
        <v/>
      </c>
      <c r="S26" s="99"/>
      <c r="T26" s="22"/>
      <c r="U26" s="9"/>
      <c r="V26" s="2"/>
      <c r="W26" s="10"/>
      <c r="X26" s="11"/>
      <c r="Y26" s="11"/>
      <c r="Z26" s="11"/>
      <c r="AA26" s="11"/>
    </row>
    <row r="27" spans="1:27" ht="13.5" thickBot="1" x14ac:dyDescent="0.25">
      <c r="A27" s="30"/>
      <c r="B27" s="173">
        <f>IF(B17&lt;=27,B25,B25*2)</f>
        <v>43</v>
      </c>
      <c r="C27" s="26"/>
      <c r="D27" s="27" t="s">
        <v>25</v>
      </c>
      <c r="E27" s="109"/>
      <c r="F27" s="175"/>
      <c r="G27" s="175"/>
      <c r="H27" s="73"/>
      <c r="I27" s="16"/>
      <c r="J27" s="16"/>
      <c r="K27" s="16"/>
      <c r="L27" s="73"/>
      <c r="M27" s="16"/>
      <c r="N27" s="16"/>
      <c r="O27" s="16"/>
      <c r="P27" s="73"/>
      <c r="Q27" s="65"/>
      <c r="R27" s="16"/>
      <c r="S27" s="101"/>
      <c r="T27" s="22"/>
      <c r="U27" s="9">
        <v>52.5</v>
      </c>
      <c r="V27" s="2" t="s">
        <v>9</v>
      </c>
      <c r="W27" s="10">
        <v>70</v>
      </c>
      <c r="X27" s="10" t="s">
        <v>10</v>
      </c>
      <c r="Y27" s="10" t="s">
        <v>10</v>
      </c>
      <c r="Z27" s="10" t="s">
        <v>10</v>
      </c>
      <c r="AA27" s="10" t="s">
        <v>10</v>
      </c>
    </row>
    <row r="28" spans="1:27" ht="13.5" thickBot="1" x14ac:dyDescent="0.25">
      <c r="A28" s="30"/>
      <c r="B28" s="155" t="s">
        <v>60</v>
      </c>
      <c r="C28" s="26"/>
      <c r="D28" s="29" t="s">
        <v>25</v>
      </c>
      <c r="E28" s="111"/>
      <c r="F28" s="115"/>
      <c r="G28" s="115"/>
      <c r="H28" s="73"/>
      <c r="I28" s="16"/>
      <c r="J28" s="16"/>
      <c r="K28" s="16"/>
      <c r="L28" s="73"/>
      <c r="M28" s="16"/>
      <c r="N28" s="16"/>
      <c r="O28" s="16"/>
      <c r="P28" s="73"/>
      <c r="Q28" s="65"/>
      <c r="R28" s="16"/>
      <c r="S28" s="101"/>
      <c r="T28" s="22"/>
      <c r="U28" s="9">
        <f>W27+0.5</f>
        <v>70.5</v>
      </c>
      <c r="V28" s="2" t="s">
        <v>9</v>
      </c>
      <c r="W28" s="10">
        <v>100</v>
      </c>
      <c r="X28" s="10" t="s">
        <v>10</v>
      </c>
      <c r="Y28" s="10" t="s">
        <v>10</v>
      </c>
      <c r="Z28" s="10" t="s">
        <v>10</v>
      </c>
      <c r="AA28" s="10" t="s">
        <v>10</v>
      </c>
    </row>
    <row r="29" spans="1:27" ht="13.5" thickBot="1" x14ac:dyDescent="0.25">
      <c r="A29" s="30"/>
      <c r="B29" s="190">
        <f>ROUND(IF(B17&lt;=27,B19*W15,(B19*W15*2)),0)</f>
        <v>152</v>
      </c>
      <c r="C29" s="26"/>
      <c r="D29" s="25" t="s">
        <v>25</v>
      </c>
      <c r="E29" s="113"/>
      <c r="F29" s="174"/>
      <c r="G29" s="174"/>
      <c r="H29" s="73"/>
      <c r="I29" s="16"/>
      <c r="J29" s="16"/>
      <c r="K29" s="16"/>
      <c r="L29" s="73"/>
      <c r="M29" s="16"/>
      <c r="N29" s="16"/>
      <c r="O29" s="16"/>
      <c r="P29" s="73"/>
      <c r="Q29" s="65"/>
      <c r="R29" s="16"/>
      <c r="S29" s="101"/>
      <c r="T29" s="22"/>
      <c r="U29" s="1"/>
      <c r="V29" s="1"/>
      <c r="W29" s="8"/>
      <c r="X29" s="8"/>
      <c r="Y29" s="8"/>
      <c r="Z29" s="8"/>
    </row>
    <row r="30" spans="1:27" ht="13.5" thickBot="1" x14ac:dyDescent="0.25">
      <c r="A30" s="30"/>
      <c r="B30" s="155" t="s">
        <v>61</v>
      </c>
      <c r="C30" s="26"/>
      <c r="D30" s="27">
        <f>IF(B17&lt;=27,B17-D37,(B17-D37)/2)</f>
        <v>14</v>
      </c>
      <c r="E30" s="109"/>
      <c r="F30" s="175"/>
      <c r="G30" s="175"/>
      <c r="H30" s="73"/>
      <c r="I30" s="16"/>
      <c r="J30" s="16"/>
      <c r="K30" s="16"/>
      <c r="L30" s="73"/>
      <c r="M30" s="16"/>
      <c r="N30" s="16"/>
      <c r="O30" s="16"/>
      <c r="P30" s="73"/>
      <c r="Q30" s="65"/>
      <c r="R30" s="16"/>
      <c r="S30" s="101"/>
      <c r="T30" s="22"/>
      <c r="U30" s="1"/>
      <c r="V30" s="1"/>
      <c r="W30" s="1"/>
      <c r="X30" s="2" t="s">
        <v>14</v>
      </c>
      <c r="Y30" s="1">
        <f>B19/(B21/12)/2</f>
        <v>21.714285714285715</v>
      </c>
      <c r="Z30" s="1"/>
    </row>
    <row r="31" spans="1:27" ht="13.5" thickBot="1" x14ac:dyDescent="0.25">
      <c r="A31" s="30"/>
      <c r="B31" s="172" t="str">
        <f>IF(W15&lt;=1,"S-S-S",IF(W15&lt;=2,"E-E-E","F-F-F"))</f>
        <v>E-E-E</v>
      </c>
      <c r="C31" s="26"/>
      <c r="D31" s="34" t="s">
        <v>25</v>
      </c>
      <c r="E31" s="119"/>
      <c r="F31" s="178"/>
      <c r="G31" s="178"/>
      <c r="H31" s="73"/>
      <c r="I31" s="16"/>
      <c r="J31" s="16"/>
      <c r="K31" s="16"/>
      <c r="L31" s="73"/>
      <c r="M31" s="16"/>
      <c r="N31" s="16"/>
      <c r="O31" s="16"/>
      <c r="P31" s="73"/>
      <c r="Q31" s="65"/>
      <c r="R31" s="16"/>
      <c r="S31" s="101"/>
      <c r="T31" s="22"/>
      <c r="U31" s="7"/>
      <c r="V31" s="7"/>
      <c r="W31" s="7"/>
      <c r="X31" s="7"/>
      <c r="Y31" s="7"/>
      <c r="Z31" s="7"/>
    </row>
    <row r="32" spans="1:27" ht="13.5" thickBot="1" x14ac:dyDescent="0.25">
      <c r="A32" s="30"/>
      <c r="B32" s="24" t="s">
        <v>68</v>
      </c>
      <c r="C32" s="26"/>
      <c r="D32" s="35" t="str">
        <f>IF($B$27=3,"┼─","│  ")</f>
        <v xml:space="preserve">│  </v>
      </c>
      <c r="E32" s="170"/>
      <c r="F32" s="176"/>
      <c r="G32" s="176"/>
      <c r="H32" s="73"/>
      <c r="I32" s="16"/>
      <c r="J32" s="16"/>
      <c r="K32" s="16"/>
      <c r="L32" s="73"/>
      <c r="M32" s="16"/>
      <c r="N32" s="16"/>
      <c r="O32" s="16"/>
      <c r="P32" s="73"/>
      <c r="Q32" s="65"/>
      <c r="R32" s="16"/>
      <c r="S32" s="101"/>
      <c r="T32" s="22"/>
      <c r="U32" s="1"/>
      <c r="V32" s="1"/>
      <c r="W32" s="1"/>
      <c r="X32" s="1"/>
      <c r="Y32" s="1"/>
      <c r="Z32" s="1"/>
    </row>
    <row r="33" spans="1:26" ht="13.5" thickBot="1" x14ac:dyDescent="0.25">
      <c r="A33" s="30"/>
      <c r="B33" s="173">
        <f>B27*2</f>
        <v>86</v>
      </c>
      <c r="C33" s="26"/>
      <c r="D33" s="27" t="str">
        <f>IF($B$27=3,2,"│  ")</f>
        <v xml:space="preserve">│  </v>
      </c>
      <c r="E33" s="109"/>
      <c r="F33" s="175"/>
      <c r="G33" s="175"/>
      <c r="H33" s="73"/>
      <c r="I33" s="16"/>
      <c r="J33" s="16"/>
      <c r="K33" s="16"/>
      <c r="L33" s="73"/>
      <c r="M33" s="16"/>
      <c r="N33" s="16"/>
      <c r="O33" s="16"/>
      <c r="P33" s="73"/>
      <c r="Q33" s="65"/>
      <c r="R33" s="16"/>
      <c r="S33" s="101"/>
      <c r="T33" s="22"/>
      <c r="U33" s="7"/>
      <c r="V33" s="7"/>
      <c r="W33" s="7"/>
      <c r="X33" s="7"/>
      <c r="Y33" s="7"/>
      <c r="Z33" s="7"/>
    </row>
    <row r="34" spans="1:26" x14ac:dyDescent="0.2">
      <c r="A34" s="30"/>
      <c r="B34" s="22"/>
      <c r="C34" s="26"/>
      <c r="D34" s="37" t="s">
        <v>25</v>
      </c>
      <c r="E34" s="182"/>
      <c r="F34" s="179"/>
      <c r="G34" s="179"/>
      <c r="H34" s="73"/>
      <c r="I34" s="16"/>
      <c r="J34" s="16"/>
      <c r="K34" s="16"/>
      <c r="L34" s="73"/>
      <c r="M34" s="16"/>
      <c r="N34" s="16"/>
      <c r="O34" s="16"/>
      <c r="P34" s="73"/>
      <c r="Q34" s="65"/>
      <c r="R34" s="16"/>
      <c r="S34" s="101"/>
      <c r="T34" s="22"/>
      <c r="U34" s="1"/>
      <c r="V34" s="1"/>
      <c r="W34" s="2"/>
      <c r="Y34" s="1"/>
      <c r="Z34" s="1"/>
    </row>
    <row r="35" spans="1:26" x14ac:dyDescent="0.2">
      <c r="A35" s="22"/>
      <c r="B35" s="22"/>
      <c r="C35" s="22"/>
      <c r="D35" s="27" t="s">
        <v>25</v>
      </c>
      <c r="E35" s="109"/>
      <c r="F35" s="175"/>
      <c r="G35" s="175"/>
      <c r="H35" s="73"/>
      <c r="I35" s="16"/>
      <c r="J35" s="16"/>
      <c r="K35" s="16"/>
      <c r="L35" s="73"/>
      <c r="M35" s="16"/>
      <c r="N35" s="16"/>
      <c r="O35" s="16"/>
      <c r="P35" s="73"/>
      <c r="Q35" s="65"/>
      <c r="R35" s="16"/>
      <c r="S35" s="101"/>
      <c r="T35" s="22"/>
      <c r="U35" s="7"/>
      <c r="V35" s="7"/>
      <c r="W35" s="2"/>
      <c r="X35" s="7" t="s">
        <v>1</v>
      </c>
      <c r="Y35" s="1"/>
      <c r="Z35" s="7"/>
    </row>
    <row r="36" spans="1:26" x14ac:dyDescent="0.2">
      <c r="A36" s="22"/>
      <c r="B36" s="155"/>
      <c r="C36" s="22"/>
      <c r="D36" s="25" t="s">
        <v>22</v>
      </c>
      <c r="E36" s="113"/>
      <c r="F36" s="174" t="str">
        <f>J36</f>
        <v>==========</v>
      </c>
      <c r="G36" s="174"/>
      <c r="H36" s="73" t="str">
        <f>IF(OR($X$38=2,$X$38=3),"====XX====","")</f>
        <v>====XX====</v>
      </c>
      <c r="I36" s="16"/>
      <c r="J36" s="16" t="str">
        <f>IF(D37=2,"==========","")</f>
        <v>==========</v>
      </c>
      <c r="K36" s="16"/>
      <c r="L36" s="73" t="str">
        <f>H36</f>
        <v>====XX====</v>
      </c>
      <c r="M36" s="16"/>
      <c r="N36" s="16" t="str">
        <f>J36</f>
        <v>==========</v>
      </c>
      <c r="O36" s="16"/>
      <c r="P36" s="73" t="str">
        <f>H36</f>
        <v>====XX====</v>
      </c>
      <c r="Q36" s="65"/>
      <c r="R36" s="16" t="str">
        <f>J36</f>
        <v>==========</v>
      </c>
      <c r="S36" s="101"/>
      <c r="T36" s="22"/>
      <c r="U36" s="3"/>
      <c r="V36" s="3"/>
      <c r="W36" s="2"/>
      <c r="X36" s="1">
        <f>VLOOKUP(B17,U20:AA28,4)</f>
        <v>1</v>
      </c>
      <c r="Y36" s="1"/>
      <c r="Z36" s="3"/>
    </row>
    <row r="37" spans="1:26" x14ac:dyDescent="0.2">
      <c r="A37" s="22"/>
      <c r="B37" s="24"/>
      <c r="C37" s="22"/>
      <c r="D37" s="27">
        <v>2</v>
      </c>
      <c r="E37" s="109"/>
      <c r="F37" s="175"/>
      <c r="G37" s="175"/>
      <c r="H37" s="73"/>
      <c r="I37" s="16"/>
      <c r="J37" s="16"/>
      <c r="K37" s="16"/>
      <c r="L37" s="73"/>
      <c r="M37" s="16"/>
      <c r="N37" s="16"/>
      <c r="O37" s="16"/>
      <c r="P37" s="73"/>
      <c r="Q37" s="16"/>
      <c r="R37" s="16"/>
      <c r="S37" s="101"/>
      <c r="T37" s="22"/>
      <c r="W37" s="2"/>
      <c r="X37" s="2" t="s">
        <v>12</v>
      </c>
      <c r="Y37" s="1"/>
    </row>
    <row r="38" spans="1:26" ht="13.5" thickBot="1" x14ac:dyDescent="0.25">
      <c r="A38" s="22"/>
      <c r="B38" s="157"/>
      <c r="C38" s="22"/>
      <c r="D38" s="25" t="s">
        <v>24</v>
      </c>
      <c r="E38" s="122"/>
      <c r="F38" s="183"/>
      <c r="G38" s="183"/>
      <c r="H38" s="76"/>
      <c r="I38" s="17"/>
      <c r="J38" s="17"/>
      <c r="K38" s="17"/>
      <c r="L38" s="76"/>
      <c r="M38" s="17"/>
      <c r="N38" s="17"/>
      <c r="O38" s="17"/>
      <c r="P38" s="76"/>
      <c r="Q38" s="17"/>
      <c r="R38" s="17"/>
      <c r="S38" s="104"/>
      <c r="T38" s="22"/>
      <c r="U38" s="2"/>
      <c r="V38" s="2"/>
      <c r="W38" s="2"/>
      <c r="X38" s="2">
        <f>VLOOKUP(B17,U20:AA28,5)</f>
        <v>2</v>
      </c>
      <c r="Y38" s="1"/>
      <c r="Z38" s="2"/>
    </row>
    <row r="39" spans="1:26" x14ac:dyDescent="0.2">
      <c r="A39" s="22"/>
      <c r="B39" s="24"/>
      <c r="C39" s="22"/>
      <c r="D39" s="26"/>
      <c r="E39" s="26"/>
      <c r="F39" s="38">
        <f>$B$21</f>
        <v>21</v>
      </c>
      <c r="G39" s="26"/>
      <c r="H39" s="184" t="s">
        <v>21</v>
      </c>
      <c r="I39" s="38"/>
      <c r="J39" s="38">
        <f>F39</f>
        <v>21</v>
      </c>
      <c r="K39" s="38"/>
      <c r="L39" s="38" t="str">
        <f>H39</f>
        <v>┼</v>
      </c>
      <c r="M39" s="38"/>
      <c r="N39" s="38">
        <f>$B$21</f>
        <v>21</v>
      </c>
      <c r="O39" s="38"/>
      <c r="P39" s="38" t="str">
        <f>H39</f>
        <v>┼</v>
      </c>
      <c r="Q39" s="38"/>
      <c r="R39" s="38">
        <f>$B$21</f>
        <v>21</v>
      </c>
      <c r="S39" s="63" t="s">
        <v>30</v>
      </c>
      <c r="T39" s="22"/>
      <c r="U39" s="1"/>
      <c r="V39" s="1"/>
      <c r="W39" s="2"/>
      <c r="X39" s="185" t="s">
        <v>11</v>
      </c>
      <c r="Y39" s="1"/>
      <c r="Z39" s="1"/>
    </row>
    <row r="40" spans="1:26" x14ac:dyDescent="0.2">
      <c r="A40" s="22"/>
      <c r="B40" s="158"/>
      <c r="C40" s="22"/>
      <c r="D40" s="22"/>
      <c r="E40" s="22"/>
      <c r="F40" s="22"/>
      <c r="G40" s="22"/>
      <c r="H40" s="26"/>
      <c r="I40" s="26"/>
      <c r="J40" s="26"/>
      <c r="K40" s="26"/>
      <c r="L40" s="22"/>
      <c r="M40" s="26"/>
      <c r="N40" s="39"/>
      <c r="O40" s="26"/>
      <c r="P40" s="22"/>
      <c r="Q40" s="26"/>
      <c r="R40" s="22"/>
      <c r="S40" s="22"/>
      <c r="T40" s="22"/>
      <c r="W40" s="2"/>
      <c r="X40" s="1">
        <f>VLOOKUP(B17,U20:AA28,6)</f>
        <v>0</v>
      </c>
      <c r="Y40" s="1"/>
    </row>
    <row r="41" spans="1:26" x14ac:dyDescent="0.2">
      <c r="A41" s="22"/>
      <c r="B41" s="22"/>
      <c r="C41" s="22"/>
      <c r="D41" s="22"/>
      <c r="E41" s="22"/>
      <c r="F41" s="22"/>
      <c r="G41" s="22"/>
      <c r="H41" s="23"/>
      <c r="I41" s="22"/>
      <c r="J41" s="22"/>
      <c r="K41" s="22"/>
      <c r="L41" s="22"/>
      <c r="M41" s="24" t="s">
        <v>0</v>
      </c>
      <c r="N41" s="22"/>
      <c r="O41" s="22"/>
      <c r="P41" s="22"/>
      <c r="Q41" s="22"/>
      <c r="R41" s="22"/>
      <c r="S41" s="22"/>
      <c r="T41" s="22"/>
      <c r="W41" s="2"/>
      <c r="X41" s="185"/>
      <c r="Y41" s="1"/>
    </row>
    <row r="42" spans="1:26" x14ac:dyDescent="0.2">
      <c r="A42" s="22"/>
      <c r="B42" s="22"/>
      <c r="C42" s="22"/>
      <c r="D42" s="22"/>
      <c r="E42" s="22"/>
      <c r="F42" s="22"/>
      <c r="G42" s="22"/>
      <c r="H42" s="22"/>
      <c r="I42" s="22"/>
      <c r="J42" s="22"/>
      <c r="K42" s="22"/>
      <c r="L42" s="22"/>
      <c r="M42" s="22"/>
      <c r="N42" s="22"/>
      <c r="O42" s="22"/>
      <c r="P42" s="22"/>
      <c r="Q42" s="22"/>
      <c r="R42" s="22"/>
      <c r="S42" s="22"/>
      <c r="T42" s="22"/>
      <c r="W42" s="2"/>
      <c r="X42" s="1"/>
      <c r="Y42" s="1"/>
    </row>
    <row r="43" spans="1:26" x14ac:dyDescent="0.2">
      <c r="A43" s="22"/>
      <c r="B43" s="211" t="s">
        <v>70</v>
      </c>
      <c r="C43" s="208"/>
      <c r="D43" s="208"/>
      <c r="E43" s="208"/>
      <c r="F43" s="208"/>
      <c r="G43" s="208"/>
      <c r="H43" s="208"/>
      <c r="I43" s="208"/>
      <c r="J43" s="208"/>
      <c r="K43" s="208"/>
      <c r="L43" s="208"/>
      <c r="M43" s="208"/>
      <c r="N43" s="208"/>
      <c r="O43" s="208"/>
      <c r="P43" s="208"/>
      <c r="Q43" s="208"/>
      <c r="R43" s="208"/>
      <c r="S43" s="22"/>
      <c r="T43" s="22"/>
    </row>
    <row r="44" spans="1:26" x14ac:dyDescent="0.2">
      <c r="A44" s="22"/>
      <c r="B44" s="208"/>
      <c r="C44" s="208"/>
      <c r="D44" s="208"/>
      <c r="E44" s="208"/>
      <c r="F44" s="208"/>
      <c r="G44" s="208"/>
      <c r="H44" s="208"/>
      <c r="I44" s="208"/>
      <c r="J44" s="208"/>
      <c r="K44" s="208"/>
      <c r="L44" s="208"/>
      <c r="M44" s="208"/>
      <c r="N44" s="208"/>
      <c r="O44" s="208"/>
      <c r="P44" s="208"/>
      <c r="Q44" s="208"/>
      <c r="R44" s="208"/>
      <c r="S44" s="22"/>
      <c r="T44" s="22"/>
    </row>
    <row r="45" spans="1:26" x14ac:dyDescent="0.2">
      <c r="A45" s="22"/>
      <c r="B45" s="208"/>
      <c r="C45" s="208"/>
      <c r="D45" s="208"/>
      <c r="E45" s="208"/>
      <c r="F45" s="208"/>
      <c r="G45" s="208"/>
      <c r="H45" s="208"/>
      <c r="I45" s="208"/>
      <c r="J45" s="208"/>
      <c r="K45" s="208"/>
      <c r="L45" s="208"/>
      <c r="M45" s="208"/>
      <c r="N45" s="208"/>
      <c r="O45" s="208"/>
      <c r="P45" s="208"/>
      <c r="Q45" s="208"/>
      <c r="R45" s="208"/>
      <c r="S45" s="22"/>
      <c r="T45" s="22"/>
    </row>
    <row r="46" spans="1:26" x14ac:dyDescent="0.2">
      <c r="A46" s="22"/>
      <c r="B46" s="208"/>
      <c r="C46" s="208"/>
      <c r="D46" s="208"/>
      <c r="E46" s="208"/>
      <c r="F46" s="208"/>
      <c r="G46" s="208"/>
      <c r="H46" s="208"/>
      <c r="I46" s="208"/>
      <c r="J46" s="208"/>
      <c r="K46" s="208"/>
      <c r="L46" s="208"/>
      <c r="M46" s="208"/>
      <c r="N46" s="208"/>
      <c r="O46" s="208"/>
      <c r="P46" s="208"/>
      <c r="Q46" s="208"/>
      <c r="R46" s="208"/>
      <c r="S46" s="22"/>
      <c r="T46" s="22"/>
    </row>
    <row r="47" spans="1:26" x14ac:dyDescent="0.2">
      <c r="A47" s="22"/>
      <c r="B47" s="208"/>
      <c r="C47" s="208"/>
      <c r="D47" s="208"/>
      <c r="E47" s="208"/>
      <c r="F47" s="208"/>
      <c r="G47" s="208"/>
      <c r="H47" s="208"/>
      <c r="I47" s="208"/>
      <c r="J47" s="208"/>
      <c r="K47" s="208"/>
      <c r="L47" s="208"/>
      <c r="M47" s="208"/>
      <c r="N47" s="208"/>
      <c r="O47" s="208"/>
      <c r="P47" s="208"/>
      <c r="Q47" s="208"/>
      <c r="R47" s="208"/>
      <c r="S47" s="22"/>
      <c r="T47" s="22"/>
    </row>
    <row r="48" spans="1:26" x14ac:dyDescent="0.2">
      <c r="A48" s="22"/>
      <c r="B48" s="208"/>
      <c r="C48" s="208"/>
      <c r="D48" s="208"/>
      <c r="E48" s="208"/>
      <c r="F48" s="208"/>
      <c r="G48" s="208"/>
      <c r="H48" s="208"/>
      <c r="I48" s="208"/>
      <c r="J48" s="208"/>
      <c r="K48" s="208"/>
      <c r="L48" s="208"/>
      <c r="M48" s="208"/>
      <c r="N48" s="208"/>
      <c r="O48" s="208"/>
      <c r="P48" s="208"/>
      <c r="Q48" s="208"/>
      <c r="R48" s="208"/>
      <c r="S48" s="22"/>
      <c r="T48" s="22"/>
    </row>
    <row r="49" spans="1:20" x14ac:dyDescent="0.2">
      <c r="A49" s="22"/>
      <c r="B49" s="208"/>
      <c r="C49" s="208"/>
      <c r="D49" s="208"/>
      <c r="E49" s="208"/>
      <c r="F49" s="208"/>
      <c r="G49" s="208"/>
      <c r="H49" s="208"/>
      <c r="I49" s="208"/>
      <c r="J49" s="208"/>
      <c r="K49" s="208"/>
      <c r="L49" s="208"/>
      <c r="M49" s="208"/>
      <c r="N49" s="208"/>
      <c r="O49" s="208"/>
      <c r="P49" s="208"/>
      <c r="Q49" s="208"/>
      <c r="R49" s="208"/>
      <c r="S49" s="22"/>
      <c r="T49" s="22"/>
    </row>
  </sheetData>
  <sheetProtection algorithmName="SHA-512" hashValue="85vgc/DsbKOtShRHyZaU8pBHP78oS4DmeElHLTf4IWQ/jC83K2hhntJdejcocwACR/9Kojv1Qp2eLNLFwarnnA==" saltValue="PTTQheYw5ziurDfrV/VgPA==" spinCount="100000" sheet="1" objects="1" scenarios="1" selectLockedCells="1"/>
  <mergeCells count="1">
    <mergeCell ref="B43:R49"/>
  </mergeCells>
  <dataValidations count="1">
    <dataValidation type="list" allowBlank="1" showInputMessage="1" showErrorMessage="1" sqref="B23" xr:uid="{00000000-0002-0000-0600-000000000000}">
      <formula1>$Y$13:$Y$15</formula1>
    </dataValidation>
  </dataValidations>
  <pageMargins left="0.7" right="0.7" top="0.75" bottom="0.75" header="0.3" footer="0.3"/>
  <pageSetup scale="88" orientation="portrait" blackAndWhite="1" r:id="rId1"/>
  <colBreaks count="1" manualBreakCount="1">
    <brk id="2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view="pageBreakPreview" zoomScaleNormal="55" zoomScaleSheetLayoutView="100" workbookViewId="0">
      <selection activeCell="B5" sqref="B5"/>
    </sheetView>
  </sheetViews>
  <sheetFormatPr defaultRowHeight="12.75" x14ac:dyDescent="0.2"/>
  <cols>
    <col min="1" max="1" width="13.28515625" customWidth="1"/>
    <col min="3" max="3" width="10.7109375" customWidth="1"/>
    <col min="5" max="5" width="1.7109375" customWidth="1"/>
    <col min="7" max="9" width="1.7109375" customWidth="1"/>
    <col min="11" max="13" width="1.7109375" customWidth="1"/>
    <col min="15" max="17" width="1.7109375" customWidth="1"/>
    <col min="19" max="19" width="1.7109375" customWidth="1"/>
  </cols>
  <sheetData>
    <row r="1" spans="1:20" x14ac:dyDescent="0.2">
      <c r="A1" s="22"/>
      <c r="B1" s="22"/>
      <c r="C1" s="22"/>
      <c r="D1" s="22"/>
      <c r="E1" s="22"/>
      <c r="F1" s="22"/>
      <c r="G1" s="22"/>
      <c r="H1" s="22"/>
      <c r="I1" s="22"/>
      <c r="J1" s="22"/>
      <c r="K1" s="22"/>
      <c r="L1" s="22"/>
      <c r="M1" s="22"/>
      <c r="N1" s="22"/>
      <c r="O1" s="22"/>
      <c r="P1" s="22"/>
      <c r="Q1" s="22"/>
      <c r="R1" s="22"/>
      <c r="S1" s="22"/>
      <c r="T1" s="22"/>
    </row>
    <row r="2" spans="1:20" x14ac:dyDescent="0.2">
      <c r="A2" s="22"/>
      <c r="B2" s="22"/>
      <c r="C2" s="22"/>
      <c r="D2" s="22"/>
      <c r="E2" s="22"/>
      <c r="F2" s="22"/>
      <c r="G2" s="22"/>
      <c r="H2" s="22"/>
      <c r="I2" s="22"/>
      <c r="J2" s="22"/>
      <c r="K2" s="22"/>
      <c r="L2" s="22"/>
      <c r="M2" s="22"/>
      <c r="N2" s="22"/>
      <c r="O2" s="22"/>
      <c r="P2" s="22"/>
      <c r="Q2" s="22"/>
      <c r="R2" s="22"/>
      <c r="S2" s="22"/>
      <c r="T2" s="22"/>
    </row>
    <row r="3" spans="1:20" x14ac:dyDescent="0.2">
      <c r="A3" s="22"/>
      <c r="B3" s="22"/>
      <c r="C3" s="22"/>
      <c r="D3" s="22"/>
      <c r="E3" s="22"/>
      <c r="F3" s="22"/>
      <c r="G3" s="22"/>
      <c r="H3" s="22"/>
      <c r="I3" s="22"/>
      <c r="J3" s="22"/>
      <c r="K3" s="22"/>
      <c r="L3" s="22"/>
      <c r="M3" s="22"/>
      <c r="N3" s="22"/>
      <c r="O3" s="22"/>
      <c r="P3" s="22"/>
      <c r="Q3" s="22"/>
      <c r="R3" s="22"/>
      <c r="S3" s="22"/>
      <c r="T3" s="22"/>
    </row>
    <row r="4" spans="1:20" x14ac:dyDescent="0.2">
      <c r="A4" s="22"/>
      <c r="B4" s="22"/>
      <c r="C4" s="22"/>
      <c r="D4" s="22"/>
      <c r="E4" s="22"/>
      <c r="F4" s="22"/>
      <c r="G4" s="22"/>
      <c r="H4" s="22"/>
      <c r="I4" s="22"/>
      <c r="J4" s="22"/>
      <c r="K4" s="22"/>
      <c r="L4" s="22"/>
      <c r="M4" s="22"/>
      <c r="N4" s="22"/>
      <c r="O4" s="22"/>
      <c r="P4" s="22"/>
      <c r="Q4" s="22"/>
      <c r="R4" s="22"/>
      <c r="S4" s="22"/>
      <c r="T4" s="22"/>
    </row>
    <row r="5" spans="1:20" x14ac:dyDescent="0.2">
      <c r="A5" s="22" t="s">
        <v>32</v>
      </c>
      <c r="B5" s="191"/>
      <c r="C5" s="22"/>
      <c r="D5" s="22"/>
      <c r="E5" s="22"/>
      <c r="F5" s="22"/>
      <c r="G5" s="22"/>
      <c r="H5" s="22"/>
      <c r="I5" s="22"/>
      <c r="J5" s="22"/>
      <c r="K5" s="22"/>
      <c r="L5" s="22"/>
      <c r="M5" s="22"/>
      <c r="N5" s="22"/>
      <c r="O5" s="22"/>
      <c r="P5" s="22"/>
      <c r="Q5" s="22"/>
      <c r="R5" s="22"/>
      <c r="S5" s="22"/>
      <c r="T5" s="22"/>
    </row>
    <row r="6" spans="1:20" x14ac:dyDescent="0.2">
      <c r="A6" s="22" t="s">
        <v>33</v>
      </c>
      <c r="B6" s="186">
        <f ca="1">TODAY()</f>
        <v>45467</v>
      </c>
      <c r="C6" s="22"/>
      <c r="D6" s="22"/>
      <c r="E6" s="22"/>
      <c r="F6" s="22"/>
      <c r="G6" s="22"/>
      <c r="H6" s="22"/>
      <c r="I6" s="22"/>
      <c r="J6" s="22"/>
      <c r="K6" s="22"/>
      <c r="L6" s="22"/>
      <c r="M6" s="22"/>
      <c r="N6" s="22"/>
      <c r="O6" s="22"/>
      <c r="P6" s="22"/>
      <c r="Q6" s="22"/>
      <c r="R6" s="22"/>
      <c r="S6" s="22"/>
      <c r="T6" s="22"/>
    </row>
    <row r="7" spans="1:20" x14ac:dyDescent="0.2">
      <c r="A7" s="22" t="s">
        <v>34</v>
      </c>
      <c r="B7" s="191" t="s">
        <v>73</v>
      </c>
      <c r="C7" s="22"/>
      <c r="D7" s="22"/>
      <c r="E7" s="22"/>
      <c r="F7" s="22"/>
      <c r="G7" s="22"/>
      <c r="H7" s="22"/>
      <c r="I7" s="22"/>
      <c r="J7" s="22"/>
      <c r="K7" s="22"/>
      <c r="L7" s="22"/>
      <c r="M7" s="22"/>
      <c r="N7" s="22"/>
      <c r="O7" s="22"/>
      <c r="P7" s="22"/>
      <c r="Q7" s="22"/>
      <c r="R7" s="22"/>
      <c r="S7" s="22"/>
      <c r="T7" s="22"/>
    </row>
    <row r="8" spans="1:20" x14ac:dyDescent="0.2">
      <c r="A8" s="22"/>
      <c r="B8" s="23"/>
      <c r="C8" s="22"/>
      <c r="D8" s="22"/>
      <c r="E8" s="22"/>
      <c r="F8" s="22"/>
      <c r="G8" s="22"/>
      <c r="H8" s="22"/>
      <c r="I8" s="22"/>
      <c r="J8" s="22"/>
      <c r="K8" s="22"/>
      <c r="L8" s="22"/>
      <c r="M8" s="22"/>
      <c r="N8" s="22"/>
      <c r="O8" s="22"/>
      <c r="P8" s="22"/>
      <c r="Q8" s="22"/>
      <c r="R8" s="22"/>
      <c r="S8" s="22"/>
      <c r="T8" s="22"/>
    </row>
    <row r="9" spans="1:20" x14ac:dyDescent="0.2">
      <c r="A9" s="22"/>
      <c r="B9" s="23" t="s">
        <v>4</v>
      </c>
      <c r="C9" s="22"/>
      <c r="D9" s="22"/>
      <c r="E9" s="22"/>
      <c r="F9" s="22"/>
      <c r="G9" s="22"/>
      <c r="H9" s="22"/>
      <c r="I9" s="22"/>
      <c r="J9" s="22"/>
      <c r="K9" s="22"/>
      <c r="L9" s="22"/>
      <c r="M9" s="22"/>
      <c r="N9" s="22"/>
      <c r="O9" s="22"/>
      <c r="P9" s="22"/>
      <c r="Q9" s="22"/>
      <c r="R9" s="22"/>
      <c r="S9" s="22"/>
      <c r="T9" s="22"/>
    </row>
    <row r="10" spans="1:20" x14ac:dyDescent="0.2">
      <c r="A10" s="22"/>
      <c r="B10" s="23" t="s">
        <v>15</v>
      </c>
      <c r="C10" s="22"/>
      <c r="D10" s="22"/>
      <c r="E10" s="22"/>
      <c r="F10" s="22"/>
      <c r="G10" s="22"/>
      <c r="H10" s="22"/>
      <c r="I10" s="22"/>
      <c r="J10" s="22"/>
      <c r="K10" s="22"/>
      <c r="L10" s="22"/>
      <c r="M10" s="22"/>
      <c r="N10" s="22"/>
      <c r="O10" s="22"/>
      <c r="P10" s="22"/>
      <c r="Q10" s="22"/>
      <c r="R10" s="22"/>
      <c r="S10" s="22"/>
      <c r="T10" s="22"/>
    </row>
    <row r="11" spans="1:20" x14ac:dyDescent="0.2">
      <c r="A11" s="22"/>
      <c r="B11" s="23" t="s">
        <v>71</v>
      </c>
      <c r="C11" s="22"/>
      <c r="D11" s="22"/>
      <c r="E11" s="22"/>
      <c r="F11" s="22"/>
      <c r="G11" s="22"/>
      <c r="H11" s="22"/>
      <c r="I11" s="22"/>
      <c r="J11" s="22"/>
      <c r="K11" s="22"/>
      <c r="L11" s="22"/>
      <c r="M11" s="24" t="s">
        <v>5</v>
      </c>
      <c r="N11" s="22"/>
      <c r="O11" s="22"/>
      <c r="P11" s="22"/>
      <c r="Q11" s="22"/>
      <c r="R11" s="22"/>
      <c r="S11" s="22"/>
      <c r="T11" s="22"/>
    </row>
    <row r="12" spans="1:20" x14ac:dyDescent="0.2">
      <c r="A12" s="22"/>
      <c r="B12" s="23" t="s">
        <v>17</v>
      </c>
      <c r="C12" s="22"/>
      <c r="D12" s="22"/>
      <c r="E12" s="22"/>
      <c r="F12" s="22"/>
      <c r="G12" s="22"/>
      <c r="H12" s="22"/>
      <c r="I12" s="22"/>
      <c r="J12" s="22"/>
      <c r="K12" s="22"/>
      <c r="L12" s="22"/>
      <c r="M12" s="24"/>
      <c r="N12" s="22"/>
      <c r="O12" s="22"/>
      <c r="P12" s="22"/>
      <c r="Q12" s="22"/>
      <c r="R12" s="22"/>
      <c r="S12" s="22"/>
      <c r="T12" s="22"/>
    </row>
    <row r="13" spans="1:20" ht="13.5" thickBot="1" x14ac:dyDescent="0.25">
      <c r="A13" s="22"/>
      <c r="B13" s="23"/>
      <c r="C13" s="22"/>
      <c r="D13" s="22"/>
      <c r="E13" s="22"/>
      <c r="F13" s="22"/>
      <c r="G13" s="22"/>
      <c r="H13" s="22"/>
      <c r="I13" s="22"/>
      <c r="J13" s="22"/>
      <c r="K13" s="22"/>
      <c r="L13" s="22"/>
      <c r="M13" s="24"/>
      <c r="N13" s="22"/>
      <c r="O13" s="22"/>
      <c r="P13" s="22"/>
      <c r="Q13" s="22"/>
      <c r="R13" s="22"/>
      <c r="S13" s="22"/>
      <c r="T13" s="22"/>
    </row>
    <row r="14" spans="1:20" ht="13.5" thickBot="1" x14ac:dyDescent="0.25">
      <c r="A14" s="22"/>
      <c r="B14" s="24" t="s">
        <v>64</v>
      </c>
      <c r="C14" s="22"/>
      <c r="D14" s="25" t="s">
        <v>23</v>
      </c>
      <c r="E14" s="107"/>
      <c r="F14" s="180"/>
      <c r="G14" s="180"/>
      <c r="H14" s="95"/>
      <c r="I14" s="95"/>
      <c r="J14" s="95"/>
      <c r="K14" s="95"/>
      <c r="L14" s="95"/>
      <c r="M14" s="95"/>
      <c r="N14" s="95"/>
      <c r="O14" s="95"/>
      <c r="P14" s="95"/>
      <c r="Q14" s="95"/>
      <c r="R14" s="95"/>
      <c r="S14" s="97"/>
      <c r="T14" s="22"/>
    </row>
    <row r="15" spans="1:20" ht="13.5" thickBot="1" x14ac:dyDescent="0.25">
      <c r="A15" s="22"/>
      <c r="B15" s="192">
        <v>30</v>
      </c>
      <c r="C15" s="26"/>
      <c r="D15" s="171" t="s">
        <v>62</v>
      </c>
      <c r="E15" s="109"/>
      <c r="F15" s="175"/>
      <c r="G15" s="175"/>
      <c r="H15" s="15"/>
      <c r="I15" s="15"/>
      <c r="J15" s="15"/>
      <c r="K15" s="15"/>
      <c r="L15" s="15"/>
      <c r="M15" s="15"/>
      <c r="N15" s="15"/>
      <c r="O15" s="15"/>
      <c r="P15" s="15"/>
      <c r="Q15" s="65"/>
      <c r="R15" s="15"/>
      <c r="S15" s="99"/>
      <c r="T15" s="22"/>
    </row>
    <row r="16" spans="1:20" ht="13.5" thickBot="1" x14ac:dyDescent="0.25">
      <c r="A16" s="22"/>
      <c r="B16" s="24" t="s">
        <v>13</v>
      </c>
      <c r="C16" s="26"/>
      <c r="D16" s="35" t="s">
        <v>62</v>
      </c>
      <c r="E16" s="111"/>
      <c r="F16" s="115"/>
      <c r="G16" s="115"/>
      <c r="H16" s="16"/>
      <c r="I16" s="15"/>
      <c r="J16" s="16"/>
      <c r="K16" s="15"/>
      <c r="L16" s="16"/>
      <c r="M16" s="15"/>
      <c r="N16" s="16"/>
      <c r="O16" s="15"/>
      <c r="P16" s="16"/>
      <c r="Q16" s="65"/>
      <c r="R16" s="15"/>
      <c r="S16" s="99"/>
      <c r="T16" s="22"/>
    </row>
    <row r="17" spans="1:27" ht="13.5" thickBot="1" x14ac:dyDescent="0.25">
      <c r="A17" s="22"/>
      <c r="B17" s="193">
        <v>14.5</v>
      </c>
      <c r="C17" s="26"/>
      <c r="D17" s="171" t="s">
        <v>62</v>
      </c>
      <c r="E17" s="109"/>
      <c r="F17" s="175"/>
      <c r="G17" s="175"/>
      <c r="H17" s="16"/>
      <c r="I17" s="16"/>
      <c r="J17" s="16"/>
      <c r="K17" s="16"/>
      <c r="L17" s="16"/>
      <c r="M17" s="16"/>
      <c r="N17" s="16"/>
      <c r="O17" s="16"/>
      <c r="P17" s="16"/>
      <c r="Q17" s="65"/>
      <c r="R17" s="16"/>
      <c r="S17" s="101"/>
      <c r="T17" s="22"/>
    </row>
    <row r="18" spans="1:27" ht="13.5" thickBot="1" x14ac:dyDescent="0.25">
      <c r="A18" s="30"/>
      <c r="B18" s="31" t="s">
        <v>19</v>
      </c>
      <c r="C18" s="26"/>
      <c r="D18" s="171" t="s">
        <v>62</v>
      </c>
      <c r="E18" s="109"/>
      <c r="F18" s="175"/>
      <c r="G18" s="175"/>
      <c r="H18" s="16"/>
      <c r="I18" s="15"/>
      <c r="J18" s="16"/>
      <c r="K18" s="15"/>
      <c r="L18" s="16"/>
      <c r="M18" s="15"/>
      <c r="N18" s="16"/>
      <c r="O18" s="15"/>
      <c r="P18" s="16"/>
      <c r="Q18" s="65"/>
      <c r="R18" s="15"/>
      <c r="S18" s="99"/>
      <c r="T18" s="22"/>
    </row>
    <row r="19" spans="1:27" ht="13.5" thickBot="1" x14ac:dyDescent="0.25">
      <c r="A19" s="30"/>
      <c r="B19" s="193">
        <v>118</v>
      </c>
      <c r="C19" s="26"/>
      <c r="D19" s="171" t="s">
        <v>62</v>
      </c>
      <c r="E19" s="109"/>
      <c r="F19" s="175"/>
      <c r="G19" s="175"/>
      <c r="H19" s="16"/>
      <c r="I19" s="16"/>
      <c r="J19" s="16"/>
      <c r="K19" s="16"/>
      <c r="L19" s="16"/>
      <c r="M19" s="16"/>
      <c r="N19" s="16"/>
      <c r="O19" s="16"/>
      <c r="P19" s="16"/>
      <c r="Q19" s="65"/>
      <c r="R19" s="16"/>
      <c r="S19" s="101"/>
      <c r="T19" s="22"/>
      <c r="U19" s="5" t="s">
        <v>6</v>
      </c>
      <c r="V19" s="5"/>
      <c r="W19" s="5" t="s">
        <v>7</v>
      </c>
      <c r="X19" s="5" t="s">
        <v>8</v>
      </c>
      <c r="Y19" s="5" t="s">
        <v>27</v>
      </c>
      <c r="Z19" s="5" t="s">
        <v>28</v>
      </c>
      <c r="AA19" s="5" t="s">
        <v>29</v>
      </c>
    </row>
    <row r="20" spans="1:27" ht="13.5" thickBot="1" x14ac:dyDescent="0.25">
      <c r="A20" s="30"/>
      <c r="B20" s="31" t="s">
        <v>66</v>
      </c>
      <c r="C20" s="26"/>
      <c r="D20" s="35" t="s">
        <v>62</v>
      </c>
      <c r="E20" s="111"/>
      <c r="F20" s="115"/>
      <c r="G20" s="115"/>
      <c r="H20" s="16"/>
      <c r="I20" s="16"/>
      <c r="J20" s="16"/>
      <c r="K20" s="16"/>
      <c r="L20" s="16"/>
      <c r="M20" s="16"/>
      <c r="N20" s="16"/>
      <c r="O20" s="16"/>
      <c r="P20" s="16"/>
      <c r="Q20" s="65"/>
      <c r="R20" s="16"/>
      <c r="S20" s="101"/>
      <c r="T20" s="22"/>
      <c r="U20" s="9">
        <v>1</v>
      </c>
      <c r="V20" s="2" t="s">
        <v>9</v>
      </c>
      <c r="W20" s="10">
        <v>27</v>
      </c>
      <c r="X20" s="11">
        <v>1</v>
      </c>
      <c r="Y20" s="11">
        <v>2</v>
      </c>
      <c r="Z20" s="11">
        <v>0</v>
      </c>
      <c r="AA20" s="11">
        <v>0</v>
      </c>
    </row>
    <row r="21" spans="1:27" ht="13.5" thickBot="1" x14ac:dyDescent="0.25">
      <c r="A21" s="30"/>
      <c r="B21" s="194">
        <v>10</v>
      </c>
      <c r="C21" s="26"/>
      <c r="D21" s="25" t="s">
        <v>25</v>
      </c>
      <c r="E21" s="113"/>
      <c r="F21" s="174"/>
      <c r="G21" s="174"/>
      <c r="H21" s="16"/>
      <c r="I21" s="16"/>
      <c r="J21" s="16"/>
      <c r="K21" s="16"/>
      <c r="L21" s="16"/>
      <c r="M21" s="16"/>
      <c r="N21" s="16"/>
      <c r="O21" s="16"/>
      <c r="P21" s="16"/>
      <c r="Q21" s="65"/>
      <c r="R21" s="16"/>
      <c r="S21" s="101"/>
      <c r="T21" s="22"/>
      <c r="U21" s="9">
        <f>W20+0.5</f>
        <v>27.5</v>
      </c>
      <c r="V21" s="2" t="s">
        <v>9</v>
      </c>
      <c r="W21" s="10">
        <v>52</v>
      </c>
      <c r="X21" s="11">
        <v>1</v>
      </c>
      <c r="Y21" s="11">
        <v>2</v>
      </c>
      <c r="Z21" s="11">
        <v>2</v>
      </c>
      <c r="AA21" s="11">
        <v>0</v>
      </c>
    </row>
    <row r="22" spans="1:27" ht="13.5" thickBot="1" x14ac:dyDescent="0.25">
      <c r="A22" s="30"/>
      <c r="B22" s="24" t="s">
        <v>67</v>
      </c>
      <c r="C22" s="26"/>
      <c r="D22" s="27" t="str">
        <f>IF(B17&gt;27,(B17-D37)/2,"|   ")</f>
        <v xml:space="preserve">|   </v>
      </c>
      <c r="E22" s="109"/>
      <c r="F22" s="175"/>
      <c r="G22" s="175"/>
      <c r="H22" s="15"/>
      <c r="I22" s="15"/>
      <c r="J22" s="15"/>
      <c r="K22" s="15"/>
      <c r="L22" s="15"/>
      <c r="M22" s="15"/>
      <c r="N22" s="15"/>
      <c r="O22" s="15"/>
      <c r="P22" s="15"/>
      <c r="Q22" s="65"/>
      <c r="R22" s="15"/>
      <c r="S22" s="99"/>
      <c r="T22" s="22"/>
      <c r="U22" s="9"/>
      <c r="V22" s="2"/>
      <c r="W22" s="10"/>
      <c r="X22" s="11"/>
      <c r="Y22" s="11"/>
      <c r="Z22" s="11"/>
      <c r="AA22" s="11"/>
    </row>
    <row r="23" spans="1:27" ht="13.5" thickBot="1" x14ac:dyDescent="0.25">
      <c r="A23" s="30"/>
      <c r="B23" s="194">
        <v>18</v>
      </c>
      <c r="C23" s="26"/>
      <c r="D23" s="25" t="s">
        <v>25</v>
      </c>
      <c r="E23" s="113"/>
      <c r="F23" s="174"/>
      <c r="G23" s="174"/>
      <c r="H23" s="15"/>
      <c r="I23" s="15"/>
      <c r="J23" s="15"/>
      <c r="K23" s="18" t="str">
        <f>IF(B17&gt;=53,"Contact Berger","")</f>
        <v/>
      </c>
      <c r="L23" s="15"/>
      <c r="M23" s="15"/>
      <c r="N23" s="15"/>
      <c r="O23" s="15"/>
      <c r="P23" s="15"/>
      <c r="Q23" s="65"/>
      <c r="R23" s="15"/>
      <c r="S23" s="99"/>
      <c r="T23" s="22"/>
      <c r="U23" s="9"/>
      <c r="V23" s="2"/>
      <c r="W23" s="10"/>
      <c r="X23" s="11"/>
      <c r="Y23" s="11"/>
      <c r="Z23" s="11"/>
      <c r="AA23" s="11"/>
    </row>
    <row r="24" spans="1:27" ht="13.5" thickBot="1" x14ac:dyDescent="0.25">
      <c r="A24" s="30"/>
      <c r="B24" s="24" t="s">
        <v>57</v>
      </c>
      <c r="C24" s="26"/>
      <c r="D24" s="35" t="s">
        <v>62</v>
      </c>
      <c r="E24" s="170"/>
      <c r="F24" s="176"/>
      <c r="G24" s="115"/>
      <c r="H24" s="15"/>
      <c r="I24" s="15"/>
      <c r="J24" s="16"/>
      <c r="K24" s="65"/>
      <c r="L24" s="15"/>
      <c r="M24" s="15"/>
      <c r="N24" s="16"/>
      <c r="O24" s="15"/>
      <c r="P24" s="15"/>
      <c r="Q24" s="65"/>
      <c r="R24" s="15"/>
      <c r="S24" s="99"/>
      <c r="T24" s="22"/>
      <c r="U24" s="9"/>
      <c r="V24" s="2"/>
      <c r="W24" s="10"/>
      <c r="X24" s="11"/>
      <c r="Y24" s="11"/>
      <c r="Z24" s="11"/>
      <c r="AA24" s="11"/>
    </row>
    <row r="25" spans="1:27" ht="13.5" thickBot="1" x14ac:dyDescent="0.25">
      <c r="A25" s="30"/>
      <c r="B25" s="172">
        <f>IF(B15&lt;=10,1,IF(B15&lt;=25,2,3))</f>
        <v>3</v>
      </c>
      <c r="C25" s="26"/>
      <c r="D25" s="171" t="s">
        <v>62</v>
      </c>
      <c r="E25" s="181"/>
      <c r="F25" s="177"/>
      <c r="G25" s="175"/>
      <c r="H25" s="16"/>
      <c r="I25" s="16"/>
      <c r="J25" s="16"/>
      <c r="K25" s="16"/>
      <c r="L25" s="16"/>
      <c r="M25" s="16"/>
      <c r="N25" s="16"/>
      <c r="O25" s="16"/>
      <c r="P25" s="16"/>
      <c r="Q25" s="65"/>
      <c r="R25" s="16"/>
      <c r="S25" s="101"/>
      <c r="T25" s="22"/>
      <c r="U25" s="9"/>
      <c r="V25" s="2"/>
      <c r="W25" s="10"/>
      <c r="X25" s="11"/>
      <c r="Y25" s="11"/>
      <c r="Z25" s="11"/>
      <c r="AA25" s="11"/>
    </row>
    <row r="26" spans="1:27" ht="13.5" thickBot="1" x14ac:dyDescent="0.25">
      <c r="A26" s="30"/>
      <c r="B26" s="24" t="s">
        <v>59</v>
      </c>
      <c r="C26" s="26"/>
      <c r="D26" s="27" t="str">
        <f>IF(AND($X$38&gt;0,$X$40&gt;0),"┼─","│  ")</f>
        <v xml:space="preserve">│  </v>
      </c>
      <c r="E26" s="109"/>
      <c r="F26" s="175" t="str">
        <f>J26</f>
        <v/>
      </c>
      <c r="G26" s="175"/>
      <c r="H26" s="16" t="str">
        <f>IF(AND($X$38=2,$X$40&gt;0),"====XX====","")</f>
        <v/>
      </c>
      <c r="I26" s="15"/>
      <c r="J26" s="15" t="str">
        <f>IF(B17&gt;27,"=========","")</f>
        <v/>
      </c>
      <c r="K26" s="15"/>
      <c r="L26" s="16" t="str">
        <f>H26</f>
        <v/>
      </c>
      <c r="M26" s="15"/>
      <c r="N26" s="15" t="str">
        <f>J26</f>
        <v/>
      </c>
      <c r="O26" s="15"/>
      <c r="P26" s="16" t="str">
        <f>H26</f>
        <v/>
      </c>
      <c r="Q26" s="65"/>
      <c r="R26" s="15" t="str">
        <f>J26</f>
        <v/>
      </c>
      <c r="S26" s="99"/>
      <c r="T26" s="22"/>
      <c r="U26" s="9"/>
      <c r="V26" s="2"/>
      <c r="W26" s="10"/>
      <c r="X26" s="11"/>
      <c r="Y26" s="11"/>
      <c r="Z26" s="11"/>
      <c r="AA26" s="11"/>
    </row>
    <row r="27" spans="1:27" ht="13.5" thickBot="1" x14ac:dyDescent="0.25">
      <c r="A27" s="30"/>
      <c r="B27" s="173">
        <f>IF(B17&lt;=27,ROUND(B19*12/F39,1),ROUND((B19*12/F39)*2,1))</f>
        <v>47.2</v>
      </c>
      <c r="C27" s="26"/>
      <c r="D27" s="27" t="s">
        <v>25</v>
      </c>
      <c r="E27" s="109"/>
      <c r="F27" s="175"/>
      <c r="G27" s="175"/>
      <c r="H27" s="16"/>
      <c r="I27" s="16"/>
      <c r="J27" s="16"/>
      <c r="K27" s="16"/>
      <c r="L27" s="16"/>
      <c r="M27" s="16"/>
      <c r="N27" s="16"/>
      <c r="O27" s="16"/>
      <c r="P27" s="16"/>
      <c r="Q27" s="65"/>
      <c r="R27" s="16"/>
      <c r="S27" s="101"/>
      <c r="T27" s="22"/>
      <c r="U27" s="9">
        <v>52.5</v>
      </c>
      <c r="V27" s="2" t="s">
        <v>9</v>
      </c>
      <c r="W27" s="10">
        <v>70</v>
      </c>
      <c r="X27" s="10" t="s">
        <v>10</v>
      </c>
      <c r="Y27" s="10" t="s">
        <v>10</v>
      </c>
      <c r="Z27" s="10" t="s">
        <v>10</v>
      </c>
      <c r="AA27" s="10" t="s">
        <v>10</v>
      </c>
    </row>
    <row r="28" spans="1:27" ht="13.5" thickBot="1" x14ac:dyDescent="0.25">
      <c r="A28" s="30"/>
      <c r="B28" s="155" t="s">
        <v>60</v>
      </c>
      <c r="C28" s="26"/>
      <c r="D28" s="29" t="s">
        <v>25</v>
      </c>
      <c r="E28" s="111"/>
      <c r="F28" s="115"/>
      <c r="G28" s="115"/>
      <c r="H28" s="16"/>
      <c r="I28" s="16"/>
      <c r="J28" s="16"/>
      <c r="K28" s="16"/>
      <c r="L28" s="16"/>
      <c r="M28" s="16"/>
      <c r="N28" s="16"/>
      <c r="O28" s="16"/>
      <c r="P28" s="16"/>
      <c r="Q28" s="65"/>
      <c r="R28" s="16"/>
      <c r="S28" s="101"/>
      <c r="T28" s="22"/>
      <c r="U28" s="9">
        <f>W27+0.5</f>
        <v>70.5</v>
      </c>
      <c r="V28" s="2" t="s">
        <v>9</v>
      </c>
      <c r="W28" s="10">
        <v>100</v>
      </c>
      <c r="X28" s="10" t="s">
        <v>10</v>
      </c>
      <c r="Y28" s="10" t="s">
        <v>10</v>
      </c>
      <c r="Z28" s="10" t="s">
        <v>10</v>
      </c>
      <c r="AA28" s="10" t="s">
        <v>10</v>
      </c>
    </row>
    <row r="29" spans="1:27" ht="13.5" thickBot="1" x14ac:dyDescent="0.25">
      <c r="A29" s="30"/>
      <c r="B29" s="190">
        <f>ROUND(IF(B17&lt;=27,B19*B25,(B19*B25*2)),0)</f>
        <v>354</v>
      </c>
      <c r="C29" s="26"/>
      <c r="D29" s="25" t="s">
        <v>25</v>
      </c>
      <c r="E29" s="113"/>
      <c r="F29" s="174"/>
      <c r="G29" s="174"/>
      <c r="H29" s="16"/>
      <c r="I29" s="16"/>
      <c r="J29" s="16"/>
      <c r="K29" s="16"/>
      <c r="L29" s="16"/>
      <c r="M29" s="16"/>
      <c r="N29" s="16"/>
      <c r="O29" s="16"/>
      <c r="P29" s="16"/>
      <c r="Q29" s="65"/>
      <c r="R29" s="16"/>
      <c r="S29" s="101"/>
      <c r="T29" s="22"/>
      <c r="U29" s="1"/>
      <c r="V29" s="1"/>
      <c r="W29" s="8"/>
      <c r="X29" s="8"/>
      <c r="Y29" s="8"/>
      <c r="Z29" s="8"/>
    </row>
    <row r="30" spans="1:27" x14ac:dyDescent="0.2">
      <c r="A30" s="30"/>
      <c r="B30" s="22"/>
      <c r="C30" s="26"/>
      <c r="D30" s="27">
        <f>IF(B17&lt;=27,B17-D37,(B17-D37)/2)</f>
        <v>12.5</v>
      </c>
      <c r="E30" s="109"/>
      <c r="F30" s="175"/>
      <c r="G30" s="175"/>
      <c r="H30" s="16"/>
      <c r="I30" s="16"/>
      <c r="J30" s="16"/>
      <c r="K30" s="16"/>
      <c r="L30" s="16"/>
      <c r="M30" s="16"/>
      <c r="N30" s="16"/>
      <c r="O30" s="16"/>
      <c r="P30" s="16"/>
      <c r="Q30" s="65"/>
      <c r="R30" s="16"/>
      <c r="S30" s="101"/>
      <c r="T30" s="22"/>
      <c r="U30" s="1"/>
      <c r="V30" s="1"/>
      <c r="W30" s="1"/>
      <c r="X30" s="2" t="s">
        <v>14</v>
      </c>
      <c r="Y30" s="1">
        <f>B19/(B21/12)/2</f>
        <v>70.8</v>
      </c>
      <c r="Z30" s="1"/>
    </row>
    <row r="31" spans="1:27" x14ac:dyDescent="0.2">
      <c r="A31" s="30"/>
      <c r="B31" s="22"/>
      <c r="C31" s="26"/>
      <c r="D31" s="34" t="s">
        <v>65</v>
      </c>
      <c r="E31" s="119"/>
      <c r="F31" s="178"/>
      <c r="G31" s="178"/>
      <c r="H31" s="16"/>
      <c r="I31" s="16"/>
      <c r="J31" s="16"/>
      <c r="K31" s="16"/>
      <c r="L31" s="16"/>
      <c r="M31" s="16"/>
      <c r="N31" s="16"/>
      <c r="O31" s="16"/>
      <c r="P31" s="16"/>
      <c r="Q31" s="65"/>
      <c r="R31" s="16"/>
      <c r="S31" s="101"/>
      <c r="T31" s="22"/>
      <c r="U31" s="7"/>
      <c r="V31" s="7"/>
      <c r="W31" s="7"/>
      <c r="X31" s="7"/>
      <c r="Y31" s="7"/>
      <c r="Z31" s="7"/>
    </row>
    <row r="32" spans="1:27" x14ac:dyDescent="0.2">
      <c r="A32" s="30"/>
      <c r="B32" s="155"/>
      <c r="C32" s="26"/>
      <c r="D32" s="35" t="str">
        <f>IF($B$27=3,"┼─","│  ")</f>
        <v xml:space="preserve">│  </v>
      </c>
      <c r="E32" s="170"/>
      <c r="F32" s="176"/>
      <c r="G32" s="176"/>
      <c r="H32" s="16"/>
      <c r="I32" s="16"/>
      <c r="J32" s="16"/>
      <c r="K32" s="16"/>
      <c r="L32" s="16"/>
      <c r="M32" s="16"/>
      <c r="N32" s="16"/>
      <c r="O32" s="16"/>
      <c r="P32" s="16"/>
      <c r="Q32" s="65"/>
      <c r="R32" s="16"/>
      <c r="S32" s="101"/>
      <c r="T32" s="22"/>
      <c r="U32" s="1"/>
      <c r="V32" s="1"/>
      <c r="W32" s="1"/>
      <c r="X32" s="1"/>
      <c r="Y32" s="1"/>
      <c r="Z32" s="1"/>
    </row>
    <row r="33" spans="1:26" x14ac:dyDescent="0.2">
      <c r="A33" s="30"/>
      <c r="B33" s="26"/>
      <c r="C33" s="26"/>
      <c r="D33" s="27" t="str">
        <f>IF($B$27=3,2,"│  ")</f>
        <v xml:space="preserve">│  </v>
      </c>
      <c r="E33" s="109"/>
      <c r="F33" s="175"/>
      <c r="G33" s="175"/>
      <c r="H33" s="16"/>
      <c r="I33" s="16"/>
      <c r="J33" s="16"/>
      <c r="K33" s="16"/>
      <c r="L33" s="16"/>
      <c r="M33" s="16"/>
      <c r="N33" s="16"/>
      <c r="O33" s="16"/>
      <c r="P33" s="16"/>
      <c r="Q33" s="65"/>
      <c r="R33" s="16"/>
      <c r="S33" s="101"/>
      <c r="T33" s="22"/>
      <c r="U33" s="7"/>
      <c r="V33" s="7"/>
      <c r="W33" s="7"/>
      <c r="X33" s="7"/>
      <c r="Y33" s="7"/>
      <c r="Z33" s="7"/>
    </row>
    <row r="34" spans="1:26" x14ac:dyDescent="0.2">
      <c r="A34" s="30"/>
      <c r="B34" s="22"/>
      <c r="C34" s="26"/>
      <c r="D34" s="37" t="s">
        <v>25</v>
      </c>
      <c r="E34" s="182"/>
      <c r="F34" s="179"/>
      <c r="G34" s="179"/>
      <c r="H34" s="16"/>
      <c r="I34" s="16"/>
      <c r="J34" s="16"/>
      <c r="K34" s="16"/>
      <c r="L34" s="16"/>
      <c r="M34" s="16"/>
      <c r="N34" s="16"/>
      <c r="O34" s="16"/>
      <c r="P34" s="16"/>
      <c r="Q34" s="65"/>
      <c r="R34" s="16"/>
      <c r="S34" s="101"/>
      <c r="T34" s="22"/>
      <c r="U34" s="1"/>
      <c r="V34" s="1"/>
      <c r="W34" s="2"/>
      <c r="Y34" s="1"/>
      <c r="Z34" s="1"/>
    </row>
    <row r="35" spans="1:26" x14ac:dyDescent="0.2">
      <c r="A35" s="22"/>
      <c r="B35" s="24"/>
      <c r="C35" s="22"/>
      <c r="D35" s="27" t="s">
        <v>25</v>
      </c>
      <c r="E35" s="109"/>
      <c r="F35" s="175"/>
      <c r="G35" s="175"/>
      <c r="H35" s="16"/>
      <c r="I35" s="16"/>
      <c r="J35" s="16"/>
      <c r="K35" s="16"/>
      <c r="L35" s="16"/>
      <c r="M35" s="16"/>
      <c r="N35" s="16"/>
      <c r="O35" s="16"/>
      <c r="P35" s="16"/>
      <c r="Q35" s="65"/>
      <c r="R35" s="16"/>
      <c r="S35" s="101"/>
      <c r="T35" s="22"/>
      <c r="U35" s="7"/>
      <c r="V35" s="7"/>
      <c r="W35" s="2"/>
      <c r="X35" s="7" t="s">
        <v>1</v>
      </c>
      <c r="Y35" s="1"/>
      <c r="Z35" s="7"/>
    </row>
    <row r="36" spans="1:26" x14ac:dyDescent="0.2">
      <c r="A36" s="22"/>
      <c r="B36" s="155"/>
      <c r="C36" s="22"/>
      <c r="D36" s="25" t="s">
        <v>22</v>
      </c>
      <c r="E36" s="113"/>
      <c r="F36" s="174" t="str">
        <f>J36</f>
        <v>==========</v>
      </c>
      <c r="G36" s="174"/>
      <c r="H36" s="16" t="str">
        <f>IF(OR($X$38=2,$X$38=3),"====XX====","")</f>
        <v>====XX====</v>
      </c>
      <c r="I36" s="16"/>
      <c r="J36" s="16" t="str">
        <f>IF(D37=2,"==========","")</f>
        <v>==========</v>
      </c>
      <c r="K36" s="16"/>
      <c r="L36" s="16" t="str">
        <f>H36</f>
        <v>====XX====</v>
      </c>
      <c r="M36" s="16"/>
      <c r="N36" s="16" t="str">
        <f>J36</f>
        <v>==========</v>
      </c>
      <c r="O36" s="16"/>
      <c r="P36" s="16" t="str">
        <f>H36</f>
        <v>====XX====</v>
      </c>
      <c r="Q36" s="65"/>
      <c r="R36" s="16" t="str">
        <f>J36</f>
        <v>==========</v>
      </c>
      <c r="S36" s="101"/>
      <c r="T36" s="22"/>
      <c r="U36" s="3"/>
      <c r="V36" s="3"/>
      <c r="W36" s="2"/>
      <c r="X36" s="1">
        <f>VLOOKUP(B17,U20:AA28,4)</f>
        <v>1</v>
      </c>
      <c r="Y36" s="1"/>
      <c r="Z36" s="3"/>
    </row>
    <row r="37" spans="1:26" x14ac:dyDescent="0.2">
      <c r="A37" s="22"/>
      <c r="B37" s="24"/>
      <c r="C37" s="22"/>
      <c r="D37" s="27">
        <v>2</v>
      </c>
      <c r="E37" s="109"/>
      <c r="F37" s="175"/>
      <c r="G37" s="175"/>
      <c r="H37" s="16"/>
      <c r="I37" s="16"/>
      <c r="J37" s="16"/>
      <c r="K37" s="16"/>
      <c r="L37" s="16"/>
      <c r="M37" s="16"/>
      <c r="N37" s="16"/>
      <c r="O37" s="16"/>
      <c r="P37" s="16"/>
      <c r="Q37" s="16"/>
      <c r="R37" s="16"/>
      <c r="S37" s="101"/>
      <c r="T37" s="22"/>
      <c r="W37" s="2"/>
      <c r="X37" s="2" t="s">
        <v>12</v>
      </c>
      <c r="Y37" s="1"/>
    </row>
    <row r="38" spans="1:26" ht="13.5" thickBot="1" x14ac:dyDescent="0.25">
      <c r="A38" s="22"/>
      <c r="B38" s="157"/>
      <c r="C38" s="22"/>
      <c r="D38" s="25" t="s">
        <v>24</v>
      </c>
      <c r="E38" s="122"/>
      <c r="F38" s="183"/>
      <c r="G38" s="183"/>
      <c r="H38" s="17"/>
      <c r="I38" s="17"/>
      <c r="J38" s="17"/>
      <c r="K38" s="17"/>
      <c r="L38" s="17"/>
      <c r="M38" s="17"/>
      <c r="N38" s="17"/>
      <c r="O38" s="17"/>
      <c r="P38" s="17"/>
      <c r="Q38" s="17"/>
      <c r="R38" s="17"/>
      <c r="S38" s="104"/>
      <c r="T38" s="22"/>
      <c r="U38" s="2"/>
      <c r="V38" s="2"/>
      <c r="W38" s="2"/>
      <c r="X38" s="2">
        <f>VLOOKUP(B17,U20:AA28,5)</f>
        <v>2</v>
      </c>
      <c r="Y38" s="1"/>
      <c r="Z38" s="2"/>
    </row>
    <row r="39" spans="1:26" x14ac:dyDescent="0.2">
      <c r="A39" s="22"/>
      <c r="B39" s="24"/>
      <c r="C39" s="22"/>
      <c r="D39" s="26"/>
      <c r="E39" s="26"/>
      <c r="F39" s="38">
        <f>IF(B25&lt;=2,24,30)</f>
        <v>30</v>
      </c>
      <c r="G39" s="26"/>
      <c r="H39" s="184" t="s">
        <v>21</v>
      </c>
      <c r="I39" s="38"/>
      <c r="J39" s="38">
        <f>F39</f>
        <v>30</v>
      </c>
      <c r="K39" s="38"/>
      <c r="L39" s="38" t="str">
        <f>H39</f>
        <v>┼</v>
      </c>
      <c r="M39" s="38"/>
      <c r="N39" s="38">
        <f>F39</f>
        <v>30</v>
      </c>
      <c r="O39" s="38"/>
      <c r="P39" s="38" t="str">
        <f>H39</f>
        <v>┼</v>
      </c>
      <c r="Q39" s="38"/>
      <c r="R39" s="38">
        <f>F39</f>
        <v>30</v>
      </c>
      <c r="S39" s="63" t="s">
        <v>30</v>
      </c>
      <c r="T39" s="22"/>
      <c r="U39" s="1"/>
      <c r="V39" s="1"/>
      <c r="W39" s="2"/>
      <c r="X39" s="185" t="s">
        <v>11</v>
      </c>
      <c r="Y39" s="1"/>
      <c r="Z39" s="1"/>
    </row>
    <row r="40" spans="1:26" x14ac:dyDescent="0.2">
      <c r="A40" s="22"/>
      <c r="B40" s="158"/>
      <c r="C40" s="24"/>
      <c r="D40" s="22"/>
      <c r="E40" s="22"/>
      <c r="F40" s="22"/>
      <c r="G40" s="22"/>
      <c r="H40" s="26"/>
      <c r="I40" s="26"/>
      <c r="J40" s="26"/>
      <c r="K40" s="26"/>
      <c r="L40" s="22"/>
      <c r="M40" s="26"/>
      <c r="N40" s="39"/>
      <c r="O40" s="26"/>
      <c r="P40" s="22"/>
      <c r="Q40" s="26"/>
      <c r="R40" s="22"/>
      <c r="S40" s="22"/>
      <c r="T40" s="22"/>
      <c r="W40" s="2"/>
      <c r="X40" s="1">
        <f>VLOOKUP(B17,U20:AA28,6)</f>
        <v>0</v>
      </c>
      <c r="Y40" s="1"/>
    </row>
    <row r="41" spans="1:26" x14ac:dyDescent="0.2">
      <c r="A41" s="22"/>
      <c r="B41" s="22"/>
      <c r="C41" s="22"/>
      <c r="D41" s="22"/>
      <c r="E41" s="22"/>
      <c r="F41" s="22"/>
      <c r="G41" s="22"/>
      <c r="H41" s="23"/>
      <c r="I41" s="22"/>
      <c r="J41" s="22"/>
      <c r="K41" s="22"/>
      <c r="L41" s="22"/>
      <c r="M41" s="24" t="s">
        <v>0</v>
      </c>
      <c r="N41" s="22"/>
      <c r="O41" s="22"/>
      <c r="P41" s="22"/>
      <c r="Q41" s="22"/>
      <c r="R41" s="22"/>
      <c r="S41" s="22"/>
      <c r="T41" s="22"/>
      <c r="W41" s="2"/>
      <c r="X41" s="185"/>
      <c r="Y41" s="1"/>
    </row>
    <row r="42" spans="1:26" x14ac:dyDescent="0.2">
      <c r="A42" s="22"/>
      <c r="B42" s="22"/>
      <c r="C42" s="24"/>
      <c r="D42" s="22"/>
      <c r="E42" s="22"/>
      <c r="F42" s="22"/>
      <c r="G42" s="22"/>
      <c r="H42" s="22"/>
      <c r="I42" s="22"/>
      <c r="J42" s="22"/>
      <c r="K42" s="22"/>
      <c r="L42" s="22"/>
      <c r="M42" s="22"/>
      <c r="N42" s="22"/>
      <c r="O42" s="22"/>
      <c r="P42" s="22"/>
      <c r="Q42" s="22"/>
      <c r="R42" s="22"/>
      <c r="S42" s="22"/>
      <c r="T42" s="22"/>
      <c r="W42" s="2"/>
      <c r="X42" s="1"/>
      <c r="Y42" s="1"/>
    </row>
    <row r="43" spans="1:26" x14ac:dyDescent="0.2">
      <c r="A43" s="22"/>
      <c r="B43" s="211" t="s">
        <v>70</v>
      </c>
      <c r="C43" s="211"/>
      <c r="D43" s="211"/>
      <c r="E43" s="211"/>
      <c r="F43" s="211"/>
      <c r="G43" s="211"/>
      <c r="H43" s="211"/>
      <c r="I43" s="211"/>
      <c r="J43" s="211"/>
      <c r="K43" s="211"/>
      <c r="L43" s="211"/>
      <c r="M43" s="211"/>
      <c r="N43" s="211"/>
      <c r="O43" s="211"/>
      <c r="P43" s="211"/>
      <c r="Q43" s="211"/>
      <c r="R43" s="211"/>
      <c r="S43" s="211"/>
      <c r="T43" s="22"/>
    </row>
    <row r="44" spans="1:26" x14ac:dyDescent="0.2">
      <c r="A44" s="22"/>
      <c r="B44" s="211"/>
      <c r="C44" s="211"/>
      <c r="D44" s="211"/>
      <c r="E44" s="211"/>
      <c r="F44" s="211"/>
      <c r="G44" s="211"/>
      <c r="H44" s="211"/>
      <c r="I44" s="211"/>
      <c r="J44" s="211"/>
      <c r="K44" s="211"/>
      <c r="L44" s="211"/>
      <c r="M44" s="211"/>
      <c r="N44" s="211"/>
      <c r="O44" s="211"/>
      <c r="P44" s="211"/>
      <c r="Q44" s="211"/>
      <c r="R44" s="211"/>
      <c r="S44" s="211"/>
      <c r="T44" s="22"/>
    </row>
    <row r="45" spans="1:26" x14ac:dyDescent="0.2">
      <c r="A45" s="22"/>
      <c r="B45" s="211"/>
      <c r="C45" s="211"/>
      <c r="D45" s="211"/>
      <c r="E45" s="211"/>
      <c r="F45" s="211"/>
      <c r="G45" s="211"/>
      <c r="H45" s="211"/>
      <c r="I45" s="211"/>
      <c r="J45" s="211"/>
      <c r="K45" s="211"/>
      <c r="L45" s="211"/>
      <c r="M45" s="211"/>
      <c r="N45" s="211"/>
      <c r="O45" s="211"/>
      <c r="P45" s="211"/>
      <c r="Q45" s="211"/>
      <c r="R45" s="211"/>
      <c r="S45" s="211"/>
      <c r="T45" s="22"/>
    </row>
    <row r="46" spans="1:26" x14ac:dyDescent="0.2">
      <c r="A46" s="22"/>
      <c r="B46" s="211"/>
      <c r="C46" s="211"/>
      <c r="D46" s="211"/>
      <c r="E46" s="211"/>
      <c r="F46" s="211"/>
      <c r="G46" s="211"/>
      <c r="H46" s="211"/>
      <c r="I46" s="211"/>
      <c r="J46" s="211"/>
      <c r="K46" s="211"/>
      <c r="L46" s="211"/>
      <c r="M46" s="211"/>
      <c r="N46" s="211"/>
      <c r="O46" s="211"/>
      <c r="P46" s="211"/>
      <c r="Q46" s="211"/>
      <c r="R46" s="211"/>
      <c r="S46" s="211"/>
      <c r="T46" s="22"/>
    </row>
    <row r="47" spans="1:26" x14ac:dyDescent="0.2">
      <c r="A47" s="22"/>
      <c r="B47" s="211"/>
      <c r="C47" s="211"/>
      <c r="D47" s="211"/>
      <c r="E47" s="211"/>
      <c r="F47" s="211"/>
      <c r="G47" s="211"/>
      <c r="H47" s="211"/>
      <c r="I47" s="211"/>
      <c r="J47" s="211"/>
      <c r="K47" s="211"/>
      <c r="L47" s="211"/>
      <c r="M47" s="211"/>
      <c r="N47" s="211"/>
      <c r="O47" s="211"/>
      <c r="P47" s="211"/>
      <c r="Q47" s="211"/>
      <c r="R47" s="211"/>
      <c r="S47" s="211"/>
      <c r="T47" s="22"/>
    </row>
    <row r="48" spans="1:26" x14ac:dyDescent="0.2">
      <c r="A48" s="22"/>
      <c r="B48" s="211"/>
      <c r="C48" s="211"/>
      <c r="D48" s="211"/>
      <c r="E48" s="211"/>
      <c r="F48" s="211"/>
      <c r="G48" s="211"/>
      <c r="H48" s="211"/>
      <c r="I48" s="211"/>
      <c r="J48" s="211"/>
      <c r="K48" s="211"/>
      <c r="L48" s="211"/>
      <c r="M48" s="211"/>
      <c r="N48" s="211"/>
      <c r="O48" s="211"/>
      <c r="P48" s="211"/>
      <c r="Q48" s="211"/>
      <c r="R48" s="211"/>
      <c r="S48" s="211"/>
      <c r="T48" s="22"/>
    </row>
  </sheetData>
  <sheetProtection algorithmName="SHA-512" hashValue="y/6md8xgKrDkSnFByrq4k+apE7kBLGHOUYUGnilbFNaDd8QpjeSoBPIZM0FMu2Flih3Ycn9Td6f5B9s8iIYAEA==" saltValue="e7LcMl5l2qb7hjASPWK43Q==" spinCount="100000" sheet="1" objects="1" scenarios="1" selectLockedCells="1"/>
  <mergeCells count="1">
    <mergeCell ref="B43:S48"/>
  </mergeCells>
  <pageMargins left="0.7" right="0.7" top="0.75" bottom="0.75" header="0.3" footer="0.3"/>
  <pageSetup scale="86" orientation="portrait" blackAndWhite="1" r:id="rId1"/>
  <colBreaks count="1" manualBreakCount="1">
    <brk id="20" max="4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Berger Metal SSR</vt:lpstr>
      <vt:lpstr>Berger Metal Exposed</vt:lpstr>
      <vt:lpstr>Berger Asphalt</vt:lpstr>
      <vt:lpstr>Berger No. 100 on Slate</vt:lpstr>
      <vt:lpstr>Berger #2, #95, Pro100 on Slate</vt:lpstr>
      <vt:lpstr>Mullane Products on Slate</vt:lpstr>
      <vt:lpstr>F-E-S Rail</vt:lpstr>
      <vt:lpstr>Mullane Rail</vt:lpstr>
      <vt:lpstr>'Berger #2, #95, Pro100 on Slate'!Print_Area</vt:lpstr>
      <vt:lpstr>'Berger Asphalt'!Print_Area</vt:lpstr>
      <vt:lpstr>'Berger Metal Exposed'!Print_Area</vt:lpstr>
      <vt:lpstr>'Berger Metal SSR'!Print_Area</vt:lpstr>
      <vt:lpstr>'Berger No. 100 on Slate'!Print_Area</vt:lpstr>
      <vt:lpstr>'F-E-S Rail'!Print_Area</vt:lpstr>
      <vt:lpstr>'Mullane Products on Slate'!Print_Area</vt:lpstr>
      <vt:lpstr>'Mullane Rail'!Print_Area</vt:lpstr>
    </vt:vector>
  </TitlesOfParts>
  <Company>Berger Bros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aflattery@fabral.com</dc:creator>
  <cp:lastModifiedBy>Joseph Jenkins</cp:lastModifiedBy>
  <cp:lastPrinted>2019-11-14T23:43:33Z</cp:lastPrinted>
  <dcterms:created xsi:type="dcterms:W3CDTF">2006-08-24T15:35:36Z</dcterms:created>
  <dcterms:modified xsi:type="dcterms:W3CDTF">2024-06-24T20:51:10Z</dcterms:modified>
</cp:coreProperties>
</file>